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95" windowHeight="8745" tabRatio="746" activeTab="4"/>
  </bookViews>
  <sheets>
    <sheet name="表紙１" sheetId="1" r:id="rId1"/>
    <sheet name="表紙２" sheetId="2" r:id="rId2"/>
    <sheet name="道路工" sheetId="3" r:id="rId3"/>
    <sheet name="用水路工" sheetId="4" r:id="rId4"/>
    <sheet name="排水路工" sheetId="5" r:id="rId5"/>
    <sheet name="整地工" sheetId="6" r:id="rId6"/>
    <sheet name="運転時間 " sheetId="7" r:id="rId7"/>
    <sheet name="基礎資料．畦畔延長" sheetId="8" r:id="rId8"/>
    <sheet name="法面積" sheetId="9" r:id="rId9"/>
    <sheet name="法面積集計表" sheetId="10" r:id="rId10"/>
    <sheet name="運搬土　田" sheetId="11" r:id="rId11"/>
    <sheet name="運搬土　畑" sheetId="12" r:id="rId12"/>
    <sheet name="旧構造物撤去" sheetId="13" r:id="rId13"/>
    <sheet name="伐採" sheetId="14" r:id="rId14"/>
    <sheet name="暗渠排水工" sheetId="15" r:id="rId15"/>
  </sheets>
  <externalReferences>
    <externalReference r:id="rId18"/>
    <externalReference r:id="rId19"/>
  </externalReferences>
  <definedNames>
    <definedName name="_xlfn.SUMIFS" hidden="1">#NAME?</definedName>
    <definedName name="_xlfn.XLOOKUP" hidden="1">#NAME?</definedName>
    <definedName name="\a" localSheetId="12">#REF!</definedName>
    <definedName name="\a" localSheetId="13">#REF!</definedName>
    <definedName name="\a">#REF!</definedName>
    <definedName name="_xlnm.Print_Area" localSheetId="14">'暗渠排水工'!$B$1:$H$28</definedName>
    <definedName name="_xlnm.Print_Area" localSheetId="6">'運転時間 '!$B$4:$AE$69</definedName>
    <definedName name="_xlnm.Print_Area" localSheetId="10">'運搬土　田'!$H$1:$Z$77</definedName>
    <definedName name="_xlnm.Print_Area" localSheetId="11">'運搬土　畑'!$H$2:$Z$76</definedName>
    <definedName name="_xlnm.Print_Area" localSheetId="7">'基礎資料．畦畔延長'!$B$2:$Y$71</definedName>
    <definedName name="_xlnm.Print_Area" localSheetId="12">'旧構造物撤去'!$B$2:$V$74</definedName>
    <definedName name="_xlnm.Print_Area" localSheetId="5">'整地工'!$B$2:$X$79</definedName>
    <definedName name="_xlnm.Print_Area" localSheetId="2">'道路工'!$B$2:$AA$78</definedName>
    <definedName name="_xlnm.Print_Area" localSheetId="4">'排水路工'!$B$2:$AE$78</definedName>
    <definedName name="_xlnm.Print_Area" localSheetId="13">'伐採'!$A$6:$X$63</definedName>
    <definedName name="_xlnm.Print_Area" localSheetId="0">'表紙１'!$B$2:$H$9</definedName>
    <definedName name="_xlnm.Print_Area" localSheetId="1">'表紙２'!$B$4:$I$16</definedName>
    <definedName name="_xlnm.Print_Area" localSheetId="8">'法面積'!$B$2:$R$72</definedName>
    <definedName name="_xlnm.Print_Area" localSheetId="9">'法面積集計表'!$B$1:$F$52</definedName>
    <definedName name="_xlnm.Print_Area" localSheetId="3">'用水路工'!$B$2:$AC$76</definedName>
    <definedName name="PRINT_AREA_MI" localSheetId="12">#REF!</definedName>
    <definedName name="PRINT_AREA_MI" localSheetId="13">#REF!</definedName>
    <definedName name="PRINT_AREA_MI">#REF!</definedName>
    <definedName name="_xlnm.Print_Titles" localSheetId="13">'伐採'!$6:$11</definedName>
  </definedNames>
  <calcPr fullCalcOnLoad="1"/>
</workbook>
</file>

<file path=xl/sharedStrings.xml><?xml version="1.0" encoding="utf-8"?>
<sst xmlns="http://schemas.openxmlformats.org/spreadsheetml/2006/main" count="1682" uniqueCount="767">
  <si>
    <t>整理番号</t>
  </si>
  <si>
    <t>面  積</t>
  </si>
  <si>
    <t>備    考</t>
  </si>
  <si>
    <t>　</t>
  </si>
  <si>
    <t>計</t>
  </si>
  <si>
    <t>第</t>
  </si>
  <si>
    <t>方  向</t>
  </si>
  <si>
    <t>耕  区</t>
  </si>
  <si>
    <t>運  土</t>
  </si>
  <si>
    <t>土  量</t>
  </si>
  <si>
    <t>距  離</t>
  </si>
  <si>
    <t>1:畑から</t>
  </si>
  <si>
    <t>番  号</t>
  </si>
  <si>
    <t>(m3)</t>
  </si>
  <si>
    <t>(m)</t>
  </si>
  <si>
    <t>2:工区外</t>
  </si>
  <si>
    <t>土 量</t>
  </si>
  <si>
    <t>距 離</t>
  </si>
  <si>
    <t>Ｖ・Ｌ</t>
  </si>
  <si>
    <t xml:space="preserve"> (m3)</t>
  </si>
  <si>
    <t>耕区数</t>
  </si>
  <si>
    <t>長  辺</t>
  </si>
  <si>
    <t>短  辺</t>
  </si>
  <si>
    <t>a * A</t>
  </si>
  <si>
    <t>b * A</t>
  </si>
  <si>
    <t>割増し率</t>
  </si>
  <si>
    <t>備      考</t>
  </si>
  <si>
    <t>A</t>
  </si>
  <si>
    <t>n</t>
  </si>
  <si>
    <t>a</t>
  </si>
  <si>
    <t>b</t>
  </si>
  <si>
    <t>X</t>
  </si>
  <si>
    <t>耕区間</t>
  </si>
  <si>
    <t>道路側</t>
  </si>
  <si>
    <t>水路側</t>
  </si>
  <si>
    <t>(枚)</t>
  </si>
  <si>
    <t>１</t>
  </si>
  <si>
    <t>工　事</t>
  </si>
  <si>
    <t>ほ  区</t>
  </si>
  <si>
    <t>障害物</t>
  </si>
  <si>
    <t>(A)</t>
  </si>
  <si>
    <t>A ･ S</t>
  </si>
  <si>
    <t>状  況</t>
  </si>
  <si>
    <t>B</t>
  </si>
  <si>
    <t>C</t>
  </si>
  <si>
    <t>m2</t>
  </si>
  <si>
    <t>個</t>
  </si>
  <si>
    <t>合  計</t>
  </si>
  <si>
    <t>整地工事の機械運転時間及び補助労務の算定表</t>
  </si>
  <si>
    <t>1 ha当り歩掛り</t>
  </si>
  <si>
    <t>ブ ル ド ー ザ</t>
  </si>
  <si>
    <t>バ ッ ク ホ ウ</t>
  </si>
  <si>
    <t>整　　地　　工　　数　　量　　調　　書</t>
  </si>
  <si>
    <t xml:space="preserve">  工  区</t>
  </si>
  <si>
    <t>整  地</t>
  </si>
  <si>
    <t>ﾌﾞﾙﾄﾞ-ｻﾞ</t>
  </si>
  <si>
    <t>法  面</t>
  </si>
  <si>
    <t>桑  根</t>
  </si>
  <si>
    <t>心　土</t>
  </si>
  <si>
    <t>鉄 筋</t>
  </si>
  <si>
    <t>無 筋</t>
  </si>
  <si>
    <t>番 号</t>
  </si>
  <si>
    <t>な  し</t>
  </si>
  <si>
    <t>流 用 土</t>
  </si>
  <si>
    <t>運転時間</t>
  </si>
  <si>
    <t>処  理</t>
  </si>
  <si>
    <t>破　砕</t>
  </si>
  <si>
    <t>石 礫</t>
  </si>
  <si>
    <t>転 石</t>
  </si>
  <si>
    <t>石 類</t>
  </si>
  <si>
    <t xml:space="preserve"> 排　　水　　路　　工　　数　　量　　調　　書</t>
  </si>
  <si>
    <t>実延長</t>
  </si>
  <si>
    <t>控除延長</t>
  </si>
  <si>
    <t>型</t>
  </si>
  <si>
    <t>ｹ所</t>
  </si>
  <si>
    <t xml:space="preserve"> 延長</t>
  </si>
  <si>
    <t xml:space="preserve">   m</t>
  </si>
  <si>
    <t>枚</t>
  </si>
  <si>
    <t>UO</t>
  </si>
  <si>
    <t>道　　路　　工　　数　　量　　調　　書</t>
  </si>
  <si>
    <t>幅員</t>
  </si>
  <si>
    <t>２</t>
  </si>
  <si>
    <t>３</t>
  </si>
  <si>
    <t>厚さ</t>
  </si>
  <si>
    <t>高さ</t>
  </si>
  <si>
    <t>数　　量　　調　　書</t>
  </si>
  <si>
    <t>道路工数量調書</t>
  </si>
  <si>
    <t>排水路工数量調書</t>
  </si>
  <si>
    <t>整地工数量調書</t>
  </si>
  <si>
    <t>流用土調書（田）</t>
  </si>
  <si>
    <t>流用土調書（畑）</t>
  </si>
  <si>
    <t>桑根処理・伐開・伐根数量調書</t>
  </si>
  <si>
    <t>旧道撤去数量調書</t>
  </si>
  <si>
    <t>旧構造物撤去数量調書</t>
  </si>
  <si>
    <t>用水路工数量調書</t>
  </si>
  <si>
    <t>　１</t>
  </si>
  <si>
    <t>　２</t>
  </si>
  <si>
    <t>　３</t>
  </si>
  <si>
    <t>　４</t>
  </si>
  <si>
    <t>　５</t>
  </si>
  <si>
    <t>　６</t>
  </si>
  <si>
    <t xml:space="preserve"> </t>
  </si>
  <si>
    <t>延 長 内 訳</t>
  </si>
  <si>
    <t>名</t>
  </si>
  <si>
    <t>運転時間基礎資料及び畦畔延長調書</t>
  </si>
  <si>
    <t>現況平均勾配</t>
  </si>
  <si>
    <t>排  水  状  況</t>
  </si>
  <si>
    <t>工 区</t>
  </si>
  <si>
    <t>工 事</t>
  </si>
  <si>
    <t xml:space="preserve"> 地 区</t>
  </si>
  <si>
    <t>備　　考</t>
  </si>
  <si>
    <t>流    用    土    調   書    （　畑等　）</t>
  </si>
  <si>
    <t>耕  区</t>
  </si>
  <si>
    <t>番  号</t>
  </si>
  <si>
    <t>運  土</t>
  </si>
  <si>
    <t>方  向</t>
  </si>
  <si>
    <t>畑 、 道 路 等 か ら の 運 土</t>
  </si>
  <si>
    <t>工 区 外 へ の 運 土</t>
  </si>
  <si>
    <t>L = 61 m 以上</t>
  </si>
  <si>
    <t>入力</t>
  </si>
  <si>
    <t>3:搬出土</t>
  </si>
  <si>
    <t>L = 10～39 m</t>
  </si>
  <si>
    <t>L = 40～60 m</t>
  </si>
  <si>
    <t>L = 61～299m</t>
  </si>
  <si>
    <t>横　　断　　工</t>
  </si>
  <si>
    <t>継　手　水　槽</t>
  </si>
  <si>
    <t>そ　　の　　他</t>
  </si>
  <si>
    <t>水　尻　工</t>
  </si>
  <si>
    <t>甲　　蓋　　工</t>
  </si>
  <si>
    <t>排   水 　路</t>
  </si>
  <si>
    <t>構　　　　　　　　　造　　　　　　　　　物</t>
  </si>
  <si>
    <t>工区</t>
  </si>
  <si>
    <t>1：Ａｓ舗装　2:Co舗装　3:敷砂利</t>
  </si>
  <si>
    <t>(m2)</t>
  </si>
  <si>
    <t>入力</t>
  </si>
  <si>
    <t>土　質</t>
  </si>
  <si>
    <t>砂質＝０，粘土質＝１</t>
  </si>
  <si>
    <t>表土厚</t>
  </si>
  <si>
    <t>(cm)</t>
  </si>
  <si>
    <t>工　法</t>
  </si>
  <si>
    <t>扱いなし＝１，順送り＝２，剥取戻し＝３</t>
  </si>
  <si>
    <t>積算条件値の算定</t>
  </si>
  <si>
    <t>A　計画平均区画面積</t>
  </si>
  <si>
    <t>　A＝対象地区の区画面積計÷区画（筆）数   ＝</t>
  </si>
  <si>
    <t>÷</t>
  </si>
  <si>
    <t>＝</t>
  </si>
  <si>
    <t>(ha)</t>
  </si>
  <si>
    <t>Ｂ　計画区画短辺方向の現況平均勾配</t>
  </si>
  <si>
    <t>　Ｂ＝勾配＝</t>
  </si>
  <si>
    <t>/</t>
  </si>
  <si>
    <t>Ｃ　現況排水状況</t>
  </si>
  <si>
    <t>　Ｃ＝ １ａ ＋ ２ｂ ＋ ３ｃ ＝</t>
  </si>
  <si>
    <t>a：乾田面積率　 ＝乾田面積　 ÷全体面積＝</t>
  </si>
  <si>
    <t>b：半湿田面積率＝半湿田面積÷全体面積＝</t>
  </si>
  <si>
    <t>c：湿田面積率　 ＝湿田面積　 ÷全体面積＝</t>
  </si>
  <si>
    <t>Ｄ　障害物状況による時間</t>
  </si>
  <si>
    <t>　障害物状況(個)÷区画面積計(ha)＝</t>
  </si>
  <si>
    <t>区分</t>
  </si>
  <si>
    <t>表土扱い(順送り)に係る時間</t>
  </si>
  <si>
    <t>表土扱い(剥取戻)に係る時間</t>
  </si>
  <si>
    <t>基盤切り盛りに係る時間</t>
  </si>
  <si>
    <t>あ</t>
  </si>
  <si>
    <t>ﾌﾞﾙﾄﾞｰｻﾞ(D1)</t>
  </si>
  <si>
    <t>ﾊﾞｯｸﾎｳ(D1)</t>
  </si>
  <si>
    <t>ﾌﾞﾙﾄﾞｰｻﾞ(D2)</t>
  </si>
  <si>
    <t>ﾊﾞｯｸﾎｳ(D2)</t>
  </si>
  <si>
    <t>ﾌﾞﾙﾄﾞｰｻﾞ(D3)</t>
  </si>
  <si>
    <t>ﾊﾞｯｸﾎｳ(D4)</t>
  </si>
  <si>
    <t>　少い</t>
  </si>
  <si>
    <t>少い</t>
  </si>
  <si>
    <t>普通</t>
  </si>
  <si>
    <t>　多い</t>
  </si>
  <si>
    <t>多い</t>
  </si>
  <si>
    <t>Ｅ　基盤土質状態</t>
  </si>
  <si>
    <t>う</t>
  </si>
  <si>
    <t>砂、砂質土</t>
  </si>
  <si>
    <t>Ｅ＝</t>
  </si>
  <si>
    <t>粘質土、レキ質土</t>
  </si>
  <si>
    <t>Ｆ　表土扱い厚</t>
  </si>
  <si>
    <t>各作業毎の機械運転時間算定</t>
  </si>
  <si>
    <t>機　　械　　運　　転　　時　　間　　算　　定　　表</t>
  </si>
  <si>
    <t>内容</t>
  </si>
  <si>
    <t>ブ ル ド ー ザ （ ｈｒ/ｈａ ）</t>
  </si>
  <si>
    <t>バ ッ ク ホ ウ （ ｈｒ/ｈａ ）</t>
  </si>
  <si>
    <t>ｔ１</t>
  </si>
  <si>
    <t>９．２Ａ＋１１３．８Ｂ＋Ｄ１＋１．０Ｆ－８．５</t>
  </si>
  <si>
    <t>－７．７Ａ＋１１５．３Ｂ＋Ｄ１＋０．９Ｆ－０．９</t>
  </si>
  <si>
    <t>ｔ２</t>
  </si>
  <si>
    <t>－２３．５Ａ＋２４．３Ｂ＋Ｄ２＋０．１Ｆ＋１９．２</t>
  </si>
  <si>
    <t>ｔ３</t>
  </si>
  <si>
    <t>３．８Ａ＋Ｆ－５．０</t>
  </si>
  <si>
    <t>ｔ４</t>
  </si>
  <si>
    <t>－５．９Ａ＋１６．７</t>
  </si>
  <si>
    <t>－２．４Ａ＋１．５</t>
  </si>
  <si>
    <t>ｔ５</t>
  </si>
  <si>
    <t>１０７０．０Ａ×Ｂ＋６．９Ｃ＋Ｄ３＋１．７Ｅ＋１．６</t>
  </si>
  <si>
    <t>ｔ６</t>
  </si>
  <si>
    <t>－２．４Ａ＋３．０Ｅ＋２．４</t>
  </si>
  <si>
    <t>－２．３Ａ＋２．２</t>
  </si>
  <si>
    <t>ｔ７</t>
  </si>
  <si>
    <t>－７．６Ａ＋２．５Ｅ＋１３．５</t>
  </si>
  <si>
    <t>－３．４Ａ＋４．６</t>
  </si>
  <si>
    <t>作　業　構　成</t>
  </si>
  <si>
    <t>項目</t>
  </si>
  <si>
    <t>各作業内容</t>
  </si>
  <si>
    <t>機 械 運 転 時 間 （ｈｒ/ｈａ）</t>
  </si>
  <si>
    <t xml:space="preserve"> 労 務 （ 人/ｈａ ）</t>
  </si>
  <si>
    <t>工法区分</t>
  </si>
  <si>
    <t>世話役</t>
  </si>
  <si>
    <t>普通作業員</t>
  </si>
  <si>
    <t>表土扱いを行わない場合</t>
  </si>
  <si>
    <t>基 盤 切 盛</t>
  </si>
  <si>
    <t>畦 畔 築 立</t>
  </si>
  <si>
    <t>ＴＤａ (t5+t6+t7)</t>
  </si>
  <si>
    <t>ＴＢａ (t5+t6+t7)</t>
  </si>
  <si>
    <t>－</t>
  </si>
  <si>
    <t>基 盤 整 地</t>
  </si>
  <si>
    <t>表土扱いを順送り工法で行う場合</t>
  </si>
  <si>
    <t>表土剥ぎ取り､　戻し､表土整地</t>
  </si>
  <si>
    <t>ＴＤｂ (t1+t5+t6+t7)</t>
  </si>
  <si>
    <t>ＴＢｂ (t1+t5+t6+t7)</t>
  </si>
  <si>
    <t>表土扱いを剥ぎ取り戻し工法で行う場合</t>
  </si>
  <si>
    <t>表土剥ぎ取り</t>
  </si>
  <si>
    <t>表 土 戻 し</t>
  </si>
  <si>
    <t>表 土 整 地</t>
  </si>
  <si>
    <t>ＴＤｃ</t>
  </si>
  <si>
    <t>ＴＢｃ</t>
  </si>
  <si>
    <t>総　　　　括</t>
  </si>
  <si>
    <t>名    称</t>
  </si>
  <si>
    <t>規　　　　　格</t>
  </si>
  <si>
    <t>算　　　　　　　　　　定</t>
  </si>
  <si>
    <t>数　           　　量</t>
  </si>
  <si>
    <t>ほ場整備面積 (ha)</t>
  </si>
  <si>
    <t>t 級</t>
  </si>
  <si>
    <t>×</t>
  </si>
  <si>
    <t>ｈｒ</t>
  </si>
  <si>
    <t>m3級</t>
  </si>
  <si>
    <t>労　　　　   務</t>
  </si>
  <si>
    <t>世　 　話　 　役</t>
  </si>
  <si>
    <t>人</t>
  </si>
  <si>
    <t>普 通 作 業 員</t>
  </si>
  <si>
    <t>５．５Ａ＋５５．５Ｂ＋Ｄ２＋１．１Ｆ－１３．８</t>
  </si>
  <si>
    <t>２７０．０Ａ×Ｂ＋Ｄ４＋４．６</t>
  </si>
  <si>
    <t>号　　　　型</t>
  </si>
  <si>
    <t>運　　搬　　土</t>
  </si>
  <si>
    <t>ｶﾞｰﾄﾞﾚｰﾙ工</t>
  </si>
  <si>
    <t>　そ　の　他</t>
  </si>
  <si>
    <t>本舗装</t>
  </si>
  <si>
    <t>型式</t>
  </si>
  <si>
    <t>型式</t>
  </si>
  <si>
    <t>数 量</t>
  </si>
  <si>
    <t>そ　の　他</t>
  </si>
  <si>
    <t>型式</t>
  </si>
  <si>
    <t xml:space="preserve"> </t>
  </si>
  <si>
    <t>m</t>
  </si>
  <si>
    <t>路</t>
  </si>
  <si>
    <t>落　　差　　工</t>
  </si>
  <si>
    <t>(t2+t3+t4+t5+t6+t7)</t>
  </si>
  <si>
    <t>　普通 １ヶ所/ha程度</t>
  </si>
  <si>
    <t>　Ｆ＝表土扱い厚＝</t>
  </si>
  <si>
    <t>年　度</t>
  </si>
  <si>
    <t>面　    積</t>
  </si>
  <si>
    <t>畑  整  地  区  分</t>
  </si>
  <si>
    <t>表  土  扱  い</t>
  </si>
  <si>
    <t>雑 物 除 去</t>
  </si>
  <si>
    <t>構  造  物  撤  去</t>
  </si>
  <si>
    <t>ほ 区</t>
  </si>
  <si>
    <t xml:space="preserve">田 </t>
  </si>
  <si>
    <t>畑</t>
  </si>
  <si>
    <t>Ⅰ</t>
  </si>
  <si>
    <t>Ⅱ</t>
  </si>
  <si>
    <t>田</t>
  </si>
  <si>
    <t>ｺﾝｸﾘｰﾄ</t>
  </si>
  <si>
    <t>㎡</t>
  </si>
  <si>
    <t>m3</t>
  </si>
  <si>
    <t>hr</t>
  </si>
  <si>
    <t>支道</t>
  </si>
  <si>
    <t>合計</t>
  </si>
  <si>
    <t>横　　傾　　斜</t>
  </si>
  <si>
    <t>ほ区短辺</t>
  </si>
  <si>
    <t>主　　傾　　斜</t>
  </si>
  <si>
    <t>ほ区長辺</t>
  </si>
  <si>
    <t>－６．６Ａ＋０．３Ｆ＋１．２</t>
  </si>
  <si>
    <t>合計</t>
  </si>
  <si>
    <t>内訳</t>
  </si>
  <si>
    <t>計</t>
  </si>
  <si>
    <t>湿地 １6</t>
  </si>
  <si>
    <t>0.6</t>
  </si>
  <si>
    <t>用　　水　　路　　工　　数　　量　　調　　書</t>
  </si>
  <si>
    <t>年　度</t>
  </si>
  <si>
    <t>地 区</t>
  </si>
  <si>
    <t>第</t>
  </si>
  <si>
    <t>工　　区</t>
  </si>
  <si>
    <t>工　　事</t>
  </si>
  <si>
    <t>路</t>
  </si>
  <si>
    <t xml:space="preserve"> </t>
  </si>
  <si>
    <t>用　　　水　　　路</t>
  </si>
  <si>
    <t>構　　　　　　　造　　　　　　　物</t>
  </si>
  <si>
    <t>付　　　　　　帯　　　　　　工</t>
  </si>
  <si>
    <t>線</t>
  </si>
  <si>
    <t>延 長</t>
  </si>
  <si>
    <t>型式</t>
  </si>
  <si>
    <t>横　断　工</t>
  </si>
  <si>
    <t>水口分水工</t>
  </si>
  <si>
    <t>落　差　工</t>
  </si>
  <si>
    <t>継 手 水 槽</t>
  </si>
  <si>
    <t>取　　水　　暗　　渠　　工</t>
  </si>
  <si>
    <t>甲　　蓋　　工</t>
  </si>
  <si>
    <t>そ の 他</t>
  </si>
  <si>
    <t>名</t>
  </si>
  <si>
    <t>１</t>
  </si>
  <si>
    <t>２</t>
  </si>
  <si>
    <t>３</t>
  </si>
  <si>
    <t>延長</t>
  </si>
  <si>
    <t>延長</t>
  </si>
  <si>
    <t>BFO</t>
  </si>
  <si>
    <t xml:space="preserve"> </t>
  </si>
  <si>
    <t>路</t>
  </si>
  <si>
    <t>枚数</t>
  </si>
  <si>
    <t>線</t>
  </si>
  <si>
    <t>延 長</t>
  </si>
  <si>
    <t>型式</t>
  </si>
  <si>
    <t>用　　　水　　　路</t>
  </si>
  <si>
    <t>構　　　　　　　造　　　　　　　物</t>
  </si>
  <si>
    <t>付　　　　　　帯　　　　　　工</t>
  </si>
  <si>
    <t>号　　　　型</t>
  </si>
  <si>
    <t>号　　　　型</t>
  </si>
  <si>
    <t>整地工事の機械運転時間及び補助労務の算定表</t>
  </si>
  <si>
    <t>m</t>
  </si>
  <si>
    <t>BFO</t>
  </si>
  <si>
    <t>　</t>
  </si>
  <si>
    <t xml:space="preserve"> </t>
  </si>
  <si>
    <t>個</t>
  </si>
  <si>
    <t>m</t>
  </si>
  <si>
    <t>　</t>
  </si>
  <si>
    <t xml:space="preserve"> </t>
  </si>
  <si>
    <t>m3</t>
  </si>
  <si>
    <t>㎡</t>
  </si>
  <si>
    <t>個</t>
  </si>
  <si>
    <t>湧水処理</t>
  </si>
  <si>
    <t>内訳</t>
  </si>
  <si>
    <t>　　工区　　工事</t>
  </si>
  <si>
    <t>土量については、他地区の実績より1ha当たり1800ｍ3を見込む</t>
  </si>
  <si>
    <t>年 度</t>
  </si>
  <si>
    <t>地区</t>
  </si>
  <si>
    <t>第</t>
  </si>
  <si>
    <t>工　区</t>
  </si>
  <si>
    <t>工　事</t>
  </si>
  <si>
    <t>年　度</t>
  </si>
  <si>
    <t>地 区</t>
  </si>
  <si>
    <t>第</t>
  </si>
  <si>
    <t>工　　区</t>
  </si>
  <si>
    <t>工　　事</t>
  </si>
  <si>
    <t>路</t>
  </si>
  <si>
    <t>舗　　装　　工</t>
  </si>
  <si>
    <t>敷  砂  利</t>
  </si>
  <si>
    <t>側 溝 排 水</t>
  </si>
  <si>
    <t>横　断　工</t>
  </si>
  <si>
    <t>CO,土留壁</t>
  </si>
  <si>
    <t>継 手 水 槽</t>
  </si>
  <si>
    <t>線</t>
  </si>
  <si>
    <t>延 長</t>
  </si>
  <si>
    <t>幅員</t>
  </si>
  <si>
    <t>　</t>
  </si>
  <si>
    <t>運土</t>
  </si>
  <si>
    <t>局部</t>
  </si>
  <si>
    <t>名</t>
  </si>
  <si>
    <t>土量</t>
  </si>
  <si>
    <t>機種</t>
  </si>
  <si>
    <t>距離</t>
  </si>
  <si>
    <t>舗装</t>
  </si>
  <si>
    <t>延 長</t>
  </si>
  <si>
    <t>型式</t>
  </si>
  <si>
    <t>数 量</t>
  </si>
  <si>
    <t>m</t>
  </si>
  <si>
    <t>m3</t>
  </si>
  <si>
    <t>㎡</t>
  </si>
  <si>
    <t>GR-</t>
  </si>
  <si>
    <t>JG-</t>
  </si>
  <si>
    <t>個</t>
  </si>
  <si>
    <t>ｍ</t>
  </si>
  <si>
    <t>運土</t>
  </si>
  <si>
    <t>線</t>
  </si>
  <si>
    <t>延 長</t>
  </si>
  <si>
    <t>名</t>
  </si>
  <si>
    <t>側 溝 排 水</t>
  </si>
  <si>
    <t>横　断　工</t>
  </si>
  <si>
    <t>CO,土留壁</t>
  </si>
  <si>
    <t>排   水 　路</t>
  </si>
  <si>
    <t>構　　　　　　　　　造　　　　　　　　　物</t>
  </si>
  <si>
    <t>線</t>
  </si>
  <si>
    <t>延 長</t>
  </si>
  <si>
    <t>水　尻　工</t>
  </si>
  <si>
    <t>甲　　蓋　　工</t>
  </si>
  <si>
    <t>そ の 他</t>
  </si>
  <si>
    <t>名</t>
  </si>
  <si>
    <t>延長</t>
  </si>
  <si>
    <t>YU75</t>
  </si>
  <si>
    <t>YU100</t>
  </si>
  <si>
    <t>道路</t>
  </si>
  <si>
    <t>畦畔</t>
  </si>
  <si>
    <t>枚数</t>
  </si>
  <si>
    <t>m</t>
  </si>
  <si>
    <t>枚</t>
  </si>
  <si>
    <t>m</t>
  </si>
  <si>
    <t>枚</t>
  </si>
  <si>
    <t>路</t>
  </si>
  <si>
    <t xml:space="preserve"> </t>
  </si>
  <si>
    <t>延長</t>
  </si>
  <si>
    <t>道路</t>
  </si>
  <si>
    <t>畦畔</t>
  </si>
  <si>
    <t>枚数</t>
  </si>
  <si>
    <t>そ の 他</t>
  </si>
  <si>
    <t>線</t>
  </si>
  <si>
    <t>延 長</t>
  </si>
  <si>
    <t>運 転 時 間 基 礎 資 料 及 び 畦 畔 延 長 調 書</t>
  </si>
  <si>
    <t>工区</t>
  </si>
  <si>
    <t>畦　　　　　　　　　　畔</t>
  </si>
  <si>
    <t>勾 配</t>
  </si>
  <si>
    <t>C</t>
  </si>
  <si>
    <t>畦    畔    長</t>
  </si>
  <si>
    <t>(S)</t>
  </si>
  <si>
    <t>/</t>
  </si>
  <si>
    <t>(m)</t>
  </si>
  <si>
    <t>(S)</t>
  </si>
  <si>
    <t>勾 配</t>
  </si>
  <si>
    <t>畦    畔    長</t>
  </si>
  <si>
    <t>現況平均勾配</t>
  </si>
  <si>
    <t>排  水  状  況</t>
  </si>
  <si>
    <t>区　画　整　理　の　り　面　面　積　算　定　表</t>
  </si>
  <si>
    <t>SA＝｛（Ｓ１＋Ｓ２）×Ａ｝×ｄ</t>
  </si>
  <si>
    <t>法勾 配</t>
  </si>
  <si>
    <t>法長係数</t>
  </si>
  <si>
    <t>上端高</t>
  </si>
  <si>
    <t>下端高</t>
  </si>
  <si>
    <t>傾斜</t>
  </si>
  <si>
    <t>法面積</t>
  </si>
  <si>
    <t>（１：ｎ）</t>
  </si>
  <si>
    <t>（ｄ）</t>
  </si>
  <si>
    <t>(S1)</t>
  </si>
  <si>
    <t>(S2)</t>
  </si>
  <si>
    <t>(SA)</t>
  </si>
  <si>
    <t>ほ区長辺</t>
  </si>
  <si>
    <t>ほ区短辺</t>
  </si>
  <si>
    <t>(1/S1)</t>
  </si>
  <si>
    <t>(1/S2)</t>
  </si>
  <si>
    <t>(SA)</t>
  </si>
  <si>
    <t>－</t>
  </si>
  <si>
    <t>RDU</t>
  </si>
  <si>
    <t>搬入土</t>
  </si>
  <si>
    <t>* 印刷は、[CTRL]+A</t>
  </si>
  <si>
    <t>\A</t>
  </si>
  <si>
    <t>/PPCARB6..V66~OIC0~L0~{ESC 2}AGPQ~</t>
  </si>
  <si>
    <t>前計</t>
  </si>
  <si>
    <t>笹竹原</t>
  </si>
  <si>
    <t>備　考</t>
  </si>
  <si>
    <t xml:space="preserve"> 0</t>
  </si>
  <si>
    <t>40.1</t>
  </si>
  <si>
    <t>80.1</t>
  </si>
  <si>
    <t>120.1</t>
  </si>
  <si>
    <t>160.1</t>
  </si>
  <si>
    <t xml:space="preserve"> 6</t>
  </si>
  <si>
    <t xml:space="preserve"> 20</t>
  </si>
  <si>
    <t xml:space="preserve"> 30</t>
  </si>
  <si>
    <t>小計</t>
  </si>
  <si>
    <t>～40</t>
  </si>
  <si>
    <t>～80</t>
  </si>
  <si>
    <t>～120</t>
  </si>
  <si>
    <t>～160</t>
  </si>
  <si>
    <t>～200</t>
  </si>
  <si>
    <t xml:space="preserve"> ～19</t>
  </si>
  <si>
    <t xml:space="preserve"> ～29</t>
  </si>
  <si>
    <t xml:space="preserve"> 以上</t>
  </si>
  <si>
    <t>A*S1</t>
  </si>
  <si>
    <t>A*S2</t>
  </si>
  <si>
    <t>(本)</t>
  </si>
  <si>
    <t xml:space="preserve"> 計</t>
  </si>
  <si>
    <t>工事工区</t>
  </si>
  <si>
    <t>整理番号</t>
  </si>
  <si>
    <t>回桑</t>
  </si>
  <si>
    <t>桑 根処 理</t>
  </si>
  <si>
    <t>目通り径(φ)</t>
  </si>
  <si>
    <t>10ａ当り本数</t>
  </si>
  <si>
    <t>疎  　林 （樹量区分）</t>
  </si>
  <si>
    <t>伐採本数</t>
  </si>
  <si>
    <t>●桑根</t>
  </si>
  <si>
    <t>平均径　約16㎝</t>
  </si>
  <si>
    <t>　　　　　　</t>
  </si>
  <si>
    <t>　　　　　　　　</t>
  </si>
  <si>
    <t>流    用    土    調   書    （　水田　）</t>
  </si>
  <si>
    <t>入力</t>
  </si>
  <si>
    <t xml:space="preserve"> 地 区</t>
  </si>
  <si>
    <t>工 区</t>
  </si>
  <si>
    <t>工 事</t>
  </si>
  <si>
    <t>水　　田　　間</t>
  </si>
  <si>
    <t>L = 60 m 以 上 及 び 畑 、 道 路 等 へ の 運 土</t>
  </si>
  <si>
    <t>備　　考</t>
  </si>
  <si>
    <t>1:水田間</t>
  </si>
  <si>
    <t>耕  区</t>
  </si>
  <si>
    <t>運  土</t>
  </si>
  <si>
    <t>L = 59 m 以 下</t>
  </si>
  <si>
    <t>L = 10～39 m</t>
  </si>
  <si>
    <t>L = 40～ 60m</t>
  </si>
  <si>
    <t>L = 61～299m</t>
  </si>
  <si>
    <t>2:畑道路</t>
  </si>
  <si>
    <t>番  号</t>
  </si>
  <si>
    <t>方  向</t>
  </si>
  <si>
    <t>3:搬出土</t>
  </si>
  <si>
    <t>ﾌﾞﾙﾄﾞｰｻﾞL=</t>
  </si>
  <si>
    <t>　</t>
  </si>
  <si>
    <t>備　　考</t>
  </si>
  <si>
    <t>耕  区</t>
  </si>
  <si>
    <t>運  土</t>
  </si>
  <si>
    <t>番  号</t>
  </si>
  <si>
    <t>方  向</t>
  </si>
  <si>
    <t>伐   開 ・ 伐   根   数   量   調   書</t>
  </si>
  <si>
    <t>　第</t>
  </si>
  <si>
    <t>13号</t>
  </si>
  <si>
    <t>14号</t>
  </si>
  <si>
    <t>支排</t>
  </si>
  <si>
    <t>水路勾配</t>
  </si>
  <si>
    <t>上流高</t>
  </si>
  <si>
    <t>下流高</t>
  </si>
  <si>
    <t>延長</t>
  </si>
  <si>
    <t>高低差</t>
  </si>
  <si>
    <t>差</t>
  </si>
  <si>
    <t>J600</t>
  </si>
  <si>
    <t>RD</t>
  </si>
  <si>
    <t>旧　道 ・ 旧　構　造　物　撤   去   数   量   調   書</t>
  </si>
  <si>
    <t>第１工区工事</t>
  </si>
  <si>
    <t>石　　　　　　　　　　　　　類</t>
  </si>
  <si>
    <t>鉄筋コンクリート</t>
  </si>
  <si>
    <t>無筋コンクリート</t>
  </si>
  <si>
    <t>鋪装版取り壊しAs</t>
  </si>
  <si>
    <t>鋪装版取り壊しCo</t>
  </si>
  <si>
    <t>高さ</t>
  </si>
  <si>
    <t>延長</t>
  </si>
  <si>
    <t>厚さ</t>
  </si>
  <si>
    <t>空石積</t>
  </si>
  <si>
    <t>練石積</t>
  </si>
  <si>
    <t>転石</t>
  </si>
  <si>
    <t>小計</t>
  </si>
  <si>
    <t>t&lt;30cm</t>
  </si>
  <si>
    <t>t≧30cm</t>
  </si>
  <si>
    <t>ｱｽﾌｧﾙﾄ</t>
  </si>
  <si>
    <t>舗装切断</t>
  </si>
  <si>
    <t>ｺﾝｸﾘｰﾄ</t>
  </si>
  <si>
    <t>(m2)</t>
  </si>
  <si>
    <t>(m3)</t>
  </si>
  <si>
    <t>(m)</t>
  </si>
  <si>
    <t>式①</t>
  </si>
  <si>
    <t>ｍ</t>
  </si>
  <si>
    <t>ｍ</t>
  </si>
  <si>
    <t>ｍ</t>
  </si>
  <si>
    <t>ｍ</t>
  </si>
  <si>
    <t>ｍ</t>
  </si>
  <si>
    <t>(m2)</t>
  </si>
  <si>
    <t>(m3)</t>
  </si>
  <si>
    <t>(m)</t>
  </si>
  <si>
    <t>t&lt;30cm</t>
  </si>
  <si>
    <t>t≧30cm</t>
  </si>
  <si>
    <t>ｱｽﾌｧﾙﾄ</t>
  </si>
  <si>
    <t>宅地周り （cm）</t>
  </si>
  <si>
    <t>そ の 他 （cm）</t>
  </si>
  <si>
    <t>面 積</t>
  </si>
  <si>
    <t>(m)</t>
  </si>
  <si>
    <t>(本)</t>
  </si>
  <si>
    <t>雑木</t>
  </si>
  <si>
    <t>果樹</t>
  </si>
  <si>
    <t>竹林</t>
  </si>
  <si>
    <t>(m)</t>
  </si>
  <si>
    <t>(本)</t>
  </si>
  <si>
    <t>㎡</t>
  </si>
  <si>
    <t>令和</t>
  </si>
  <si>
    <t>令和</t>
  </si>
  <si>
    <t>令和</t>
  </si>
  <si>
    <t>1号</t>
  </si>
  <si>
    <t>2号</t>
  </si>
  <si>
    <t>B=3.0</t>
  </si>
  <si>
    <t>5</t>
  </si>
  <si>
    <t>備 考</t>
  </si>
  <si>
    <t>多比良</t>
  </si>
  <si>
    <t>農地耕作条件改善事業</t>
  </si>
  <si>
    <t>1</t>
  </si>
  <si>
    <t>3号</t>
  </si>
  <si>
    <t>4号</t>
  </si>
  <si>
    <t>5号</t>
  </si>
  <si>
    <t>6号</t>
  </si>
  <si>
    <t>7号</t>
  </si>
  <si>
    <t>8号</t>
  </si>
  <si>
    <t>9号</t>
  </si>
  <si>
    <t>10号</t>
  </si>
  <si>
    <t>11号</t>
  </si>
  <si>
    <t>12号</t>
  </si>
  <si>
    <t>該当なし</t>
  </si>
  <si>
    <t>2-1</t>
  </si>
  <si>
    <t>2-2</t>
  </si>
  <si>
    <t>3</t>
  </si>
  <si>
    <t>4</t>
  </si>
  <si>
    <t>小排</t>
  </si>
  <si>
    <t>BXO</t>
  </si>
  <si>
    <t>300×250</t>
  </si>
  <si>
    <t>JG600</t>
  </si>
  <si>
    <t>PE</t>
  </si>
  <si>
    <t>φ300</t>
  </si>
  <si>
    <t>多比良地区　　</t>
  </si>
  <si>
    <t>法面積集計表</t>
  </si>
  <si>
    <t>耕区
番号</t>
  </si>
  <si>
    <t>切り土法面
CAD計測平面積</t>
  </si>
  <si>
    <t>１：１勾配
換算斜面積
(=√2倍)</t>
  </si>
  <si>
    <t>盛り土法面
CAD計測平面積</t>
  </si>
  <si>
    <t>１：１勾配
換算斜面積
(=√2倍)</t>
  </si>
  <si>
    <t>③-1</t>
  </si>
  <si>
    <t>③-2</t>
  </si>
  <si>
    <t>③-3</t>
  </si>
  <si>
    <t>③-4</t>
  </si>
  <si>
    <t>④</t>
  </si>
  <si>
    <t>⑪-2</t>
  </si>
  <si>
    <t>⑪-3</t>
  </si>
  <si>
    <t>⑪-4</t>
  </si>
  <si>
    <t>③-1</t>
  </si>
  <si>
    <t>③-3</t>
  </si>
  <si>
    <t>④</t>
  </si>
  <si>
    <t>⑪-2</t>
  </si>
  <si>
    <t>①</t>
  </si>
  <si>
    <t>②</t>
  </si>
  <si>
    <t>③</t>
  </si>
  <si>
    <t>④</t>
  </si>
  <si>
    <t>⑤</t>
  </si>
  <si>
    <t>⑥</t>
  </si>
  <si>
    <t>⑦</t>
  </si>
  <si>
    <t>⑧</t>
  </si>
  <si>
    <t>⑧</t>
  </si>
  <si>
    <t>⑨</t>
  </si>
  <si>
    <t>⑨</t>
  </si>
  <si>
    <t>⑩</t>
  </si>
  <si>
    <t>⑪</t>
  </si>
  <si>
    <t>⑫</t>
  </si>
  <si>
    <t>⑬</t>
  </si>
  <si>
    <t>⑬</t>
  </si>
  <si>
    <t>①-1</t>
  </si>
  <si>
    <t>①-2</t>
  </si>
  <si>
    <t>②-1</t>
  </si>
  <si>
    <t>②-2</t>
  </si>
  <si>
    <t>⑤-1</t>
  </si>
  <si>
    <t>⑤-2</t>
  </si>
  <si>
    <t>⑩-1</t>
  </si>
  <si>
    <t>⑩-2</t>
  </si>
  <si>
    <t>⑩-3</t>
  </si>
  <si>
    <t>⑪-1</t>
  </si>
  <si>
    <t>⑫-1</t>
  </si>
  <si>
    <t>⑫-2</t>
  </si>
  <si>
    <t>切土法面面積</t>
  </si>
  <si>
    <t>盛土法面面積</t>
  </si>
  <si>
    <t>④C1</t>
  </si>
  <si>
    <t>②-2C1</t>
  </si>
  <si>
    <t>③-1C1</t>
  </si>
  <si>
    <t>③-2C1</t>
  </si>
  <si>
    <t>支道14C1</t>
  </si>
  <si>
    <t>支道13C1</t>
  </si>
  <si>
    <t>支道12C1</t>
  </si>
  <si>
    <t>支道11C1</t>
  </si>
  <si>
    <t>支道9C1</t>
  </si>
  <si>
    <t>支道8C1</t>
  </si>
  <si>
    <t>支道8C2</t>
  </si>
  <si>
    <t>支道7C1</t>
  </si>
  <si>
    <t>支道6C1</t>
  </si>
  <si>
    <t>支道5C1</t>
  </si>
  <si>
    <t>支道4C1</t>
  </si>
  <si>
    <t>支道3C1</t>
  </si>
  <si>
    <t>支道2C1</t>
  </si>
  <si>
    <t>支道1C1</t>
  </si>
  <si>
    <t>④B1</t>
  </si>
  <si>
    <t>②-2B1</t>
  </si>
  <si>
    <t>支道13B2</t>
  </si>
  <si>
    <t>③-1B1</t>
  </si>
  <si>
    <t>③-3B1</t>
  </si>
  <si>
    <t>③-2B1</t>
  </si>
  <si>
    <t>③-2B2</t>
  </si>
  <si>
    <t>③-2B3</t>
  </si>
  <si>
    <t>③-4B1</t>
  </si>
  <si>
    <t>支道14B1</t>
  </si>
  <si>
    <t>支道13B1</t>
  </si>
  <si>
    <t>支道11B1</t>
  </si>
  <si>
    <t>支道10B1</t>
  </si>
  <si>
    <t>支道9B1</t>
  </si>
  <si>
    <t>支道8B1</t>
  </si>
  <si>
    <t>支道2B1</t>
  </si>
  <si>
    <t>⑪-2B1</t>
  </si>
  <si>
    <t>15号</t>
  </si>
  <si>
    <t>16号</t>
  </si>
  <si>
    <t>市道道路横断工</t>
  </si>
  <si>
    <t>支道</t>
  </si>
  <si>
    <t>3</t>
  </si>
  <si>
    <t>4</t>
  </si>
  <si>
    <t>6</t>
  </si>
  <si>
    <t>7</t>
  </si>
  <si>
    <t>8</t>
  </si>
  <si>
    <t>B=3.0*延長</t>
  </si>
  <si>
    <t>⑥-1</t>
  </si>
  <si>
    <t>⑥-2</t>
  </si>
  <si>
    <t>⑦-1</t>
  </si>
  <si>
    <t>⑦-1</t>
  </si>
  <si>
    <t>⑦-2</t>
  </si>
  <si>
    <t>⑦-2</t>
  </si>
  <si>
    <t>⑦-1</t>
  </si>
  <si>
    <t>⑥-1</t>
  </si>
  <si>
    <t>⑦-1</t>
  </si>
  <si>
    <t>⑥-2C1</t>
  </si>
  <si>
    <t>⑦-1C1</t>
  </si>
  <si>
    <t>⑦-2C1</t>
  </si>
  <si>
    <t>⑦-2C2</t>
  </si>
  <si>
    <t>支道17C1</t>
  </si>
  <si>
    <t>⑥-2B1</t>
  </si>
  <si>
    <t>支道18B1</t>
  </si>
  <si>
    <t>⑦-1B1</t>
  </si>
  <si>
    <t>⑦-2B1</t>
  </si>
  <si>
    <t>⑥-1B1</t>
  </si>
  <si>
    <t>支道横断工　3箇所　</t>
  </si>
  <si>
    <t>　支排1（4.0ｍ）+小排6（4.0ｍ）+小排8（4.0ｍ）　計12.0ｍ</t>
  </si>
  <si>
    <t>3箇所</t>
  </si>
  <si>
    <t>17号</t>
  </si>
  <si>
    <t>18号</t>
  </si>
  <si>
    <t>暗渠排水工集計表</t>
  </si>
  <si>
    <t>吸水渠
延長（ｍ）</t>
  </si>
  <si>
    <t>集水渠
延長（ｍ）</t>
  </si>
  <si>
    <t>水閘
（箇所）</t>
  </si>
  <si>
    <t>備考</t>
  </si>
  <si>
    <t>⑪-1</t>
  </si>
  <si>
    <t>⑩-1、⑩-3</t>
  </si>
  <si>
    <t>集水渠
集計</t>
  </si>
  <si>
    <t>吸水渠
集計</t>
  </si>
  <si>
    <t>81ｍ+81ｍ+113ｍ</t>
  </si>
  <si>
    <t>7ｍ+54ｍ</t>
  </si>
  <si>
    <t>27ｍ+27ｍ</t>
  </si>
  <si>
    <t>5ｍ+90ｍ</t>
  </si>
  <si>
    <t>54ｍ</t>
  </si>
  <si>
    <t>7箇所×45ｍ</t>
  </si>
  <si>
    <t>6箇所×35ｍ</t>
  </si>
  <si>
    <t>3箇所×30ｍ+3箇所×45ｍ</t>
  </si>
  <si>
    <t>9箇所×45ｍ+9箇所×40ｍ</t>
  </si>
  <si>
    <t>11箇所×45ｍ</t>
  </si>
  <si>
    <r>
      <t>(m</t>
    </r>
    <r>
      <rPr>
        <b/>
        <vertAlign val="superscript"/>
        <sz val="14"/>
        <rFont val="ＭＳ Ｐゴシック"/>
        <family val="3"/>
      </rPr>
      <t>2</t>
    </r>
    <r>
      <rPr>
        <b/>
        <sz val="14"/>
        <rFont val="ＭＳ Ｐゴシック"/>
        <family val="3"/>
      </rPr>
      <t>)</t>
    </r>
  </si>
  <si>
    <r>
      <t>１本当たりの根を0.3m</t>
    </r>
    <r>
      <rPr>
        <vertAlign val="superscript"/>
        <sz val="18"/>
        <rFont val="ＭＳ Ｐゴシック"/>
        <family val="3"/>
      </rPr>
      <t>3</t>
    </r>
    <r>
      <rPr>
        <sz val="18"/>
        <rFont val="ＭＳ Ｐゴシック"/>
        <family val="3"/>
      </rPr>
      <t>とし</t>
    </r>
  </si>
  <si>
    <r>
      <t>１ｈａ当たり＝0.3m</t>
    </r>
    <r>
      <rPr>
        <vertAlign val="superscript"/>
        <sz val="18"/>
        <rFont val="ＭＳ Ｐゴシック"/>
        <family val="3"/>
      </rPr>
      <t>3</t>
    </r>
    <r>
      <rPr>
        <sz val="18"/>
        <rFont val="ＭＳ Ｐゴシック"/>
        <family val="3"/>
      </rPr>
      <t>×3500本＝1050m</t>
    </r>
    <r>
      <rPr>
        <vertAlign val="superscript"/>
        <sz val="18"/>
        <rFont val="ＭＳ Ｐゴシック"/>
        <family val="3"/>
      </rPr>
      <t>3</t>
    </r>
  </si>
  <si>
    <r>
      <t>よって、1050m</t>
    </r>
    <r>
      <rPr>
        <vertAlign val="superscript"/>
        <sz val="18"/>
        <rFont val="ＭＳ Ｐゴシック"/>
        <family val="3"/>
      </rPr>
      <t>3</t>
    </r>
    <r>
      <rPr>
        <sz val="18"/>
        <rFont val="ＭＳ Ｐゴシック"/>
        <family val="3"/>
      </rPr>
      <t>×0.483=507m</t>
    </r>
    <r>
      <rPr>
        <vertAlign val="superscript"/>
        <sz val="18"/>
        <rFont val="ＭＳ Ｐゴシック"/>
        <family val="3"/>
      </rPr>
      <t>3</t>
    </r>
  </si>
  <si>
    <t>舗装取壊し、復旧</t>
  </si>
  <si>
    <t>B=3.0</t>
  </si>
  <si>
    <t>舗装</t>
  </si>
  <si>
    <t>面積計</t>
  </si>
  <si>
    <t>暗渠排水工集計表</t>
  </si>
  <si>
    <t>　７</t>
  </si>
  <si>
    <t>　８</t>
  </si>
  <si>
    <t>　９</t>
  </si>
  <si>
    <t>　１０</t>
  </si>
  <si>
    <t>　１１</t>
  </si>
  <si>
    <t>　１２</t>
  </si>
  <si>
    <t>　１３</t>
  </si>
  <si>
    <t>法面積集計表</t>
  </si>
  <si>
    <t>③-1B2</t>
  </si>
  <si>
    <t>地区外より客土</t>
  </si>
  <si>
    <t>地区外より公共残土</t>
  </si>
  <si>
    <t>《搬入土内訳》</t>
  </si>
  <si>
    <t>③-3C1</t>
  </si>
  <si>
    <t>支道10C1</t>
  </si>
  <si>
    <t>堆肥散布</t>
  </si>
  <si>
    <t>2ｔ/10a　　畑面積　　94.111　　2×94.111=188.222ｔ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</si>
</sst>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0.0_);[Red]\(0.0\)"/>
    <numFmt numFmtId="179" formatCode="#,##0.0_);[Red]\(#,##0.0\)"/>
    <numFmt numFmtId="180" formatCode="#,##0_);[Red]\(#,##0\)"/>
    <numFmt numFmtId="181" formatCode="0_ "/>
    <numFmt numFmtId="182" formatCode="#,##0.00_ ;[Red]\-#,##0.00\ "/>
    <numFmt numFmtId="183" formatCode="#,##0_ ;[Red]\-#,##0\ "/>
    <numFmt numFmtId="184" formatCode="#,##0;[Red]#,##0"/>
    <numFmt numFmtId="185" formatCode="0_);[Red]\(0\)"/>
    <numFmt numFmtId="186" formatCode="#,##0.00_ "/>
    <numFmt numFmtId="187" formatCode="#,##0.000_ "/>
    <numFmt numFmtId="188" formatCode="#,##0.0_ "/>
    <numFmt numFmtId="189" formatCode="0.0000_);[Red]\(0.0000\)"/>
    <numFmt numFmtId="190" formatCode="#,##0.00_);[Red]\(#,##0.00\)"/>
    <numFmt numFmtId="191" formatCode="#,##0_ "/>
    <numFmt numFmtId="192" formatCode="#,##0.000;[Red]\-#,##0.000"/>
    <numFmt numFmtId="193" formatCode="0.00_);[Red]\(0.00\)"/>
    <numFmt numFmtId="194" formatCode="#,##0;[Red]\-#,##0;#"/>
    <numFmt numFmtId="195" formatCode="0.0_ "/>
    <numFmt numFmtId="196" formatCode="##&quot;㎡&quot;"/>
    <numFmt numFmtId="197" formatCode="##&quot;m&quot;"/>
    <numFmt numFmtId="198" formatCode="#,##0;&quot;△ &quot;#,##0"/>
    <numFmt numFmtId="199" formatCode="0.00_ "/>
    <numFmt numFmtId="200" formatCode="0.0_);\(0.0\)"/>
    <numFmt numFmtId="201" formatCode="#,##0.00;&quot;△ &quot;#,##0.00"/>
    <numFmt numFmtId="202" formatCode="_ * #,##0.0_ ;_ * \-#,##0.0_ ;_ * &quot;-&quot;?_ ;_ @_ "/>
    <numFmt numFmtId="203" formatCode="#,##0.00000_);[Red]\(#,##0.00000\)"/>
    <numFmt numFmtId="204" formatCode="#,##0.000_);[Red]\(#,##0.000\)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0.00_)&quot;㎡&quot;;;;"/>
    <numFmt numFmtId="209" formatCode="0.00_)&quot;㎡&quot;;[Red]\(0.00\)"/>
    <numFmt numFmtId="210" formatCode="General&quot;㎡&quot;"/>
    <numFmt numFmtId="211" formatCode="0.000"/>
    <numFmt numFmtId="212" formatCode="0.00_)&quot;ｍ&quot;;[Red]\(0.00\)"/>
    <numFmt numFmtId="213" formatCode="0_)&quot;ｍ&quot;;[Red]\(0\)"/>
    <numFmt numFmtId="214" formatCode="0_)&quot;ｍ&quot;;;;"/>
    <numFmt numFmtId="215" formatCode="0_)&quot;箇所&quot;;;;"/>
    <numFmt numFmtId="216" formatCode="0_)&quot;箇所&quot;;[Red]\(0\)"/>
    <numFmt numFmtId="217" formatCode="#&quot;㎡&quot;"/>
    <numFmt numFmtId="218" formatCode="#&quot;ｍ&quot;"/>
    <numFmt numFmtId="219" formatCode="#&quot;m3&quot;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2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6"/>
      <color indexed="39"/>
      <name val="ＭＳ Ｐゴシック"/>
      <family val="3"/>
    </font>
    <font>
      <sz val="16"/>
      <color indexed="39"/>
      <name val="ＦＡ Ｐ ゴシック"/>
      <family val="3"/>
    </font>
    <font>
      <sz val="14"/>
      <color indexed="39"/>
      <name val="ＭＳ Ｐゴシック"/>
      <family val="3"/>
    </font>
    <font>
      <sz val="13"/>
      <color indexed="8"/>
      <name val="ＭＳ Ｐゴシック"/>
      <family val="3"/>
    </font>
    <font>
      <sz val="13"/>
      <name val="ＭＳ Ｐゴシック"/>
      <family val="3"/>
    </font>
    <font>
      <sz val="12"/>
      <color indexed="8"/>
      <name val="ＭＳ Ｐゴシック"/>
      <family val="3"/>
    </font>
    <font>
      <sz val="12"/>
      <color indexed="4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6"/>
      <color indexed="10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.75"/>
      <color indexed="8"/>
      <name val="ＭＳ 明朝"/>
      <family val="1"/>
    </font>
    <font>
      <b/>
      <sz val="11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17"/>
      <name val="ＭＳ Ｐゴシック"/>
      <family val="3"/>
    </font>
    <font>
      <sz val="6"/>
      <name val="ＭＳ ゴシック"/>
      <family val="3"/>
    </font>
    <font>
      <b/>
      <sz val="11"/>
      <color indexed="57"/>
      <name val="ＭＳ Ｐゴシック"/>
      <family val="3"/>
    </font>
    <font>
      <b/>
      <sz val="11"/>
      <color indexed="11"/>
      <name val="ＭＳ Ｐゴシック"/>
      <family val="3"/>
    </font>
    <font>
      <sz val="18"/>
      <name val="ＭＳ Ｐゴシック"/>
      <family val="3"/>
    </font>
    <font>
      <sz val="9.5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b/>
      <vertAlign val="superscript"/>
      <sz val="14"/>
      <name val="ＭＳ Ｐゴシック"/>
      <family val="3"/>
    </font>
    <font>
      <vertAlign val="superscript"/>
      <sz val="18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60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rgb="FF0000FF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>
        <color indexed="8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ashed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/>
      <top>
        <color indexed="63"/>
      </top>
      <bottom>
        <color indexed="63"/>
      </bottom>
    </border>
    <border>
      <left style="dashed">
        <color indexed="8"/>
      </left>
      <right style="thin"/>
      <top>
        <color indexed="63"/>
      </top>
      <bottom style="thin">
        <color indexed="8"/>
      </bottom>
    </border>
    <border>
      <left style="dashed"/>
      <right>
        <color indexed="63"/>
      </right>
      <top>
        <color indexed="63"/>
      </top>
      <bottom style="thin">
        <color indexed="8"/>
      </bottom>
    </border>
    <border>
      <left style="dotted"/>
      <right style="dotted"/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1" fontId="40" fillId="0" borderId="0">
      <alignment/>
      <protection/>
    </xf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188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180" fontId="1" fillId="0" borderId="0" xfId="0" applyNumberFormat="1" applyFont="1" applyAlignment="1" applyProtection="1">
      <alignment horizontal="right" vertical="center"/>
      <protection/>
    </xf>
    <xf numFmtId="179" fontId="1" fillId="0" borderId="0" xfId="0" applyNumberFormat="1" applyFont="1" applyAlignment="1" applyProtection="1">
      <alignment vertical="center"/>
      <protection/>
    </xf>
    <xf numFmtId="180" fontId="1" fillId="0" borderId="0" xfId="0" applyNumberFormat="1" applyFont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Alignment="1">
      <alignment vertical="center"/>
    </xf>
    <xf numFmtId="38" fontId="9" fillId="0" borderId="10" xfId="49" applyFont="1" applyBorder="1" applyAlignment="1" applyProtection="1">
      <alignment vertical="center"/>
      <protection/>
    </xf>
    <xf numFmtId="38" fontId="9" fillId="0" borderId="11" xfId="49" applyFont="1" applyBorder="1" applyAlignment="1" applyProtection="1">
      <alignment vertical="center"/>
      <protection/>
    </xf>
    <xf numFmtId="38" fontId="1" fillId="0" borderId="0" xfId="49" applyFont="1" applyAlignment="1">
      <alignment vertical="center"/>
    </xf>
    <xf numFmtId="38" fontId="1" fillId="0" borderId="0" xfId="49" applyFont="1" applyAlignment="1" applyProtection="1">
      <alignment horizontal="center" vertical="center"/>
      <protection/>
    </xf>
    <xf numFmtId="38" fontId="1" fillId="0" borderId="0" xfId="49" applyFont="1" applyAlignment="1" applyProtection="1">
      <alignment vertical="center"/>
      <protection/>
    </xf>
    <xf numFmtId="38" fontId="6" fillId="0" borderId="0" xfId="49" applyFont="1" applyAlignment="1">
      <alignment vertical="center"/>
    </xf>
    <xf numFmtId="38" fontId="6" fillId="0" borderId="0" xfId="49" applyFont="1" applyAlignment="1" applyProtection="1">
      <alignment horizontal="center" vertical="center"/>
      <protection/>
    </xf>
    <xf numFmtId="38" fontId="9" fillId="0" borderId="0" xfId="49" applyFont="1" applyAlignment="1">
      <alignment vertical="center"/>
    </xf>
    <xf numFmtId="38" fontId="9" fillId="0" borderId="0" xfId="49" applyFont="1" applyAlignment="1" applyProtection="1">
      <alignment horizontal="center" vertical="center"/>
      <protection/>
    </xf>
    <xf numFmtId="38" fontId="9" fillId="0" borderId="0" xfId="49" applyFont="1" applyAlignment="1" applyProtection="1" quotePrefix="1">
      <alignment horizontal="center" vertical="center"/>
      <protection/>
    </xf>
    <xf numFmtId="38" fontId="9" fillId="0" borderId="0" xfId="49" applyFont="1" applyAlignment="1">
      <alignment vertical="center"/>
    </xf>
    <xf numFmtId="38" fontId="9" fillId="0" borderId="12" xfId="49" applyFont="1" applyBorder="1" applyAlignment="1" applyProtection="1">
      <alignment horizontal="center" vertical="center"/>
      <protection/>
    </xf>
    <xf numFmtId="38" fontId="9" fillId="0" borderId="12" xfId="49" applyFont="1" applyBorder="1" applyAlignment="1" applyProtection="1">
      <alignment horizontal="left" vertical="center"/>
      <protection/>
    </xf>
    <xf numFmtId="38" fontId="9" fillId="0" borderId="12" xfId="49" applyFont="1" applyBorder="1" applyAlignment="1" applyProtection="1">
      <alignment vertical="center"/>
      <protection/>
    </xf>
    <xf numFmtId="38" fontId="9" fillId="0" borderId="13" xfId="49" applyFont="1" applyBorder="1" applyAlignment="1" applyProtection="1">
      <alignment horizontal="center" vertical="center"/>
      <protection/>
    </xf>
    <xf numFmtId="38" fontId="9" fillId="0" borderId="14" xfId="49" applyFont="1" applyBorder="1" applyAlignment="1" applyProtection="1">
      <alignment horizontal="center" vertical="center"/>
      <protection/>
    </xf>
    <xf numFmtId="38" fontId="9" fillId="0" borderId="15" xfId="49" applyFont="1" applyBorder="1" applyAlignment="1" applyProtection="1">
      <alignment horizontal="center" vertical="center"/>
      <protection/>
    </xf>
    <xf numFmtId="38" fontId="9" fillId="0" borderId="16" xfId="49" applyFont="1" applyBorder="1" applyAlignment="1" applyProtection="1">
      <alignment horizontal="center" vertical="center"/>
      <protection/>
    </xf>
    <xf numFmtId="38" fontId="9" fillId="0" borderId="14" xfId="49" applyFont="1" applyBorder="1" applyAlignment="1" applyProtection="1">
      <alignment vertical="center"/>
      <protection/>
    </xf>
    <xf numFmtId="38" fontId="9" fillId="0" borderId="17" xfId="49" applyFont="1" applyBorder="1" applyAlignment="1" applyProtection="1">
      <alignment vertical="center"/>
      <protection/>
    </xf>
    <xf numFmtId="38" fontId="9" fillId="0" borderId="0" xfId="49" applyFont="1" applyBorder="1" applyAlignment="1" applyProtection="1">
      <alignment horizontal="center" vertical="center"/>
      <protection/>
    </xf>
    <xf numFmtId="38" fontId="9" fillId="0" borderId="18" xfId="49" applyFont="1" applyBorder="1" applyAlignment="1" applyProtection="1">
      <alignment horizontal="center" vertical="center"/>
      <protection/>
    </xf>
    <xf numFmtId="38" fontId="9" fillId="0" borderId="19" xfId="49" applyFont="1" applyBorder="1" applyAlignment="1" applyProtection="1">
      <alignment horizontal="center" vertical="center"/>
      <protection/>
    </xf>
    <xf numFmtId="38" fontId="9" fillId="0" borderId="20" xfId="49" applyFont="1" applyBorder="1" applyAlignment="1" applyProtection="1">
      <alignment horizontal="center" vertical="center"/>
      <protection/>
    </xf>
    <xf numFmtId="38" fontId="9" fillId="0" borderId="21" xfId="49" applyFont="1" applyBorder="1" applyAlignment="1" applyProtection="1">
      <alignment horizontal="center" vertical="center"/>
      <protection/>
    </xf>
    <xf numFmtId="38" fontId="9" fillId="0" borderId="21" xfId="49" applyFont="1" applyBorder="1" applyAlignment="1" applyProtection="1">
      <alignment vertical="center"/>
      <protection/>
    </xf>
    <xf numFmtId="38" fontId="9" fillId="0" borderId="22" xfId="49" applyFont="1" applyBorder="1" applyAlignment="1" applyProtection="1">
      <alignment horizontal="right" vertical="center"/>
      <protection/>
    </xf>
    <xf numFmtId="38" fontId="9" fillId="0" borderId="12" xfId="49" applyFont="1" applyBorder="1" applyAlignment="1" applyProtection="1">
      <alignment horizontal="right" vertical="center"/>
      <protection/>
    </xf>
    <xf numFmtId="38" fontId="9" fillId="0" borderId="21" xfId="49" applyFont="1" applyBorder="1" applyAlignment="1" applyProtection="1">
      <alignment horizontal="right" vertical="center"/>
      <protection/>
    </xf>
    <xf numFmtId="38" fontId="9" fillId="0" borderId="23" xfId="49" applyFont="1" applyBorder="1" applyAlignment="1" applyProtection="1">
      <alignment horizontal="center" vertical="center"/>
      <protection/>
    </xf>
    <xf numFmtId="38" fontId="9" fillId="0" borderId="24" xfId="49" applyFont="1" applyBorder="1" applyAlignment="1" applyProtection="1">
      <alignment horizontal="center" vertical="center"/>
      <protection/>
    </xf>
    <xf numFmtId="38" fontId="9" fillId="0" borderId="25" xfId="49" applyFont="1" applyBorder="1" applyAlignment="1" applyProtection="1">
      <alignment vertical="center"/>
      <protection/>
    </xf>
    <xf numFmtId="38" fontId="9" fillId="0" borderId="26" xfId="49" applyFont="1" applyBorder="1" applyAlignment="1" applyProtection="1">
      <alignment horizontal="center" vertical="center"/>
      <protection/>
    </xf>
    <xf numFmtId="38" fontId="9" fillId="0" borderId="14" xfId="49" applyFont="1" applyBorder="1" applyAlignment="1" applyProtection="1">
      <alignment horizontal="right" vertical="center"/>
      <protection/>
    </xf>
    <xf numFmtId="38" fontId="9" fillId="0" borderId="15" xfId="49" applyFont="1" applyBorder="1" applyAlignment="1" applyProtection="1">
      <alignment vertical="center"/>
      <protection/>
    </xf>
    <xf numFmtId="38" fontId="9" fillId="0" borderId="27" xfId="49" applyFont="1" applyBorder="1" applyAlignment="1" applyProtection="1">
      <alignment horizontal="right" vertical="center"/>
      <protection/>
    </xf>
    <xf numFmtId="38" fontId="9" fillId="0" borderId="15" xfId="49" applyFont="1" applyBorder="1" applyAlignment="1" applyProtection="1">
      <alignment horizontal="right" vertical="center"/>
      <protection/>
    </xf>
    <xf numFmtId="38" fontId="9" fillId="0" borderId="16" xfId="49" applyFont="1" applyBorder="1" applyAlignment="1" applyProtection="1">
      <alignment horizontal="right" vertical="center"/>
      <protection/>
    </xf>
    <xf numFmtId="38" fontId="9" fillId="0" borderId="16" xfId="49" applyFont="1" applyBorder="1" applyAlignment="1" applyProtection="1">
      <alignment vertical="center"/>
      <protection/>
    </xf>
    <xf numFmtId="38" fontId="9" fillId="0" borderId="19" xfId="49" applyFont="1" applyBorder="1" applyAlignment="1" applyProtection="1">
      <alignment vertical="center"/>
      <protection/>
    </xf>
    <xf numFmtId="38" fontId="9" fillId="0" borderId="28" xfId="49" applyFont="1" applyBorder="1" applyAlignment="1" applyProtection="1">
      <alignment vertical="center"/>
      <protection/>
    </xf>
    <xf numFmtId="38" fontId="9" fillId="0" borderId="29" xfId="49" applyFont="1" applyBorder="1" applyAlignment="1" applyProtection="1">
      <alignment horizontal="center" vertical="center"/>
      <protection/>
    </xf>
    <xf numFmtId="38" fontId="9" fillId="0" borderId="0" xfId="49" applyFont="1" applyBorder="1" applyAlignment="1" applyProtection="1">
      <alignment vertical="center"/>
      <protection/>
    </xf>
    <xf numFmtId="38" fontId="9" fillId="0" borderId="18" xfId="49" applyFont="1" applyBorder="1" applyAlignment="1" applyProtection="1">
      <alignment horizontal="right" vertical="center"/>
      <protection/>
    </xf>
    <xf numFmtId="38" fontId="9" fillId="0" borderId="0" xfId="49" applyFont="1" applyBorder="1" applyAlignment="1" applyProtection="1">
      <alignment horizontal="right" vertical="center"/>
      <protection/>
    </xf>
    <xf numFmtId="38" fontId="9" fillId="0" borderId="10" xfId="49" applyFont="1" applyBorder="1" applyAlignment="1" applyProtection="1">
      <alignment horizontal="center" vertical="center"/>
      <protection/>
    </xf>
    <xf numFmtId="38" fontId="9" fillId="0" borderId="11" xfId="49" applyFont="1" applyBorder="1" applyAlignment="1" applyProtection="1">
      <alignment horizontal="center" vertical="center"/>
      <protection/>
    </xf>
    <xf numFmtId="38" fontId="9" fillId="0" borderId="22" xfId="49" applyFont="1" applyBorder="1" applyAlignment="1" applyProtection="1">
      <alignment horizontal="center" vertical="center"/>
      <protection/>
    </xf>
    <xf numFmtId="38" fontId="9" fillId="0" borderId="25" xfId="49" applyFont="1" applyBorder="1" applyAlignment="1" applyProtection="1" quotePrefix="1">
      <alignment horizontal="right" vertical="center"/>
      <protection/>
    </xf>
    <xf numFmtId="180" fontId="0" fillId="0" borderId="0" xfId="0" applyNumberFormat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 applyProtection="1">
      <alignment vertical="center"/>
      <protection/>
    </xf>
    <xf numFmtId="180" fontId="6" fillId="0" borderId="0" xfId="0" applyNumberFormat="1" applyFont="1" applyAlignment="1" applyProtection="1" quotePrefix="1">
      <alignment horizontal="center" vertical="center"/>
      <protection/>
    </xf>
    <xf numFmtId="180" fontId="8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80" fontId="9" fillId="0" borderId="11" xfId="0" applyNumberFormat="1" applyFont="1" applyBorder="1" applyAlignment="1" applyProtection="1">
      <alignment horizontal="right" vertical="center"/>
      <protection/>
    </xf>
    <xf numFmtId="180" fontId="11" fillId="0" borderId="11" xfId="0" applyNumberFormat="1" applyFont="1" applyBorder="1" applyAlignment="1" applyProtection="1">
      <alignment vertical="center"/>
      <protection locked="0"/>
    </xf>
    <xf numFmtId="180" fontId="9" fillId="0" borderId="11" xfId="0" applyNumberFormat="1" applyFont="1" applyBorder="1" applyAlignment="1" applyProtection="1">
      <alignment horizontal="center" vertical="center"/>
      <protection/>
    </xf>
    <xf numFmtId="180" fontId="9" fillId="0" borderId="11" xfId="0" applyNumberFormat="1" applyFont="1" applyBorder="1" applyAlignment="1" applyProtection="1">
      <alignment horizontal="left" vertical="center"/>
      <protection/>
    </xf>
    <xf numFmtId="180" fontId="9" fillId="0" borderId="0" xfId="0" applyNumberFormat="1" applyFont="1" applyAlignment="1" applyProtection="1">
      <alignment vertical="center"/>
      <protection/>
    </xf>
    <xf numFmtId="180" fontId="9" fillId="0" borderId="12" xfId="0" applyNumberFormat="1" applyFont="1" applyBorder="1" applyAlignment="1" applyProtection="1">
      <alignment vertical="center"/>
      <protection/>
    </xf>
    <xf numFmtId="180" fontId="9" fillId="0" borderId="12" xfId="0" applyNumberFormat="1" applyFont="1" applyBorder="1" applyAlignment="1" applyProtection="1">
      <alignment horizontal="center" vertical="center"/>
      <protection/>
    </xf>
    <xf numFmtId="180" fontId="9" fillId="0" borderId="12" xfId="0" applyNumberFormat="1" applyFont="1" applyBorder="1" applyAlignment="1" applyProtection="1" quotePrefix="1">
      <alignment horizontal="left" vertical="center"/>
      <protection/>
    </xf>
    <xf numFmtId="180" fontId="9" fillId="0" borderId="12" xfId="0" applyNumberFormat="1" applyFont="1" applyBorder="1" applyAlignment="1" applyProtection="1">
      <alignment horizontal="right" vertical="center"/>
      <protection/>
    </xf>
    <xf numFmtId="180" fontId="9" fillId="0" borderId="12" xfId="0" applyNumberFormat="1" applyFont="1" applyBorder="1" applyAlignment="1" applyProtection="1" quotePrefix="1">
      <alignment horizontal="center" vertical="center"/>
      <protection/>
    </xf>
    <xf numFmtId="180" fontId="9" fillId="0" borderId="16" xfId="0" applyNumberFormat="1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180" fontId="9" fillId="0" borderId="13" xfId="0" applyNumberFormat="1" applyFont="1" applyBorder="1" applyAlignment="1" applyProtection="1">
      <alignment vertical="center"/>
      <protection/>
    </xf>
    <xf numFmtId="180" fontId="9" fillId="0" borderId="3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 vertical="center"/>
      <protection/>
    </xf>
    <xf numFmtId="180" fontId="9" fillId="0" borderId="16" xfId="0" applyNumberFormat="1" applyFont="1" applyBorder="1" applyAlignment="1" applyProtection="1">
      <alignment horizontal="center" vertical="center"/>
      <protection/>
    </xf>
    <xf numFmtId="180" fontId="9" fillId="0" borderId="16" xfId="0" applyNumberFormat="1" applyFont="1" applyBorder="1" applyAlignment="1" applyProtection="1">
      <alignment horizontal="left" vertical="center"/>
      <protection/>
    </xf>
    <xf numFmtId="180" fontId="9" fillId="0" borderId="13" xfId="0" applyNumberFormat="1" applyFont="1" applyBorder="1" applyAlignment="1" applyProtection="1" quotePrefix="1">
      <alignment horizontal="center" vertical="center"/>
      <protection/>
    </xf>
    <xf numFmtId="180" fontId="9" fillId="0" borderId="30" xfId="0" applyNumberFormat="1" applyFont="1" applyBorder="1" applyAlignment="1" applyProtection="1" quotePrefix="1">
      <alignment horizontal="center" vertical="center"/>
      <protection/>
    </xf>
    <xf numFmtId="180" fontId="9" fillId="0" borderId="13" xfId="0" applyNumberFormat="1" applyFont="1" applyBorder="1" applyAlignment="1" applyProtection="1">
      <alignment horizontal="center" vertical="center"/>
      <protection/>
    </xf>
    <xf numFmtId="180" fontId="9" fillId="0" borderId="10" xfId="0" applyNumberFormat="1" applyFont="1" applyBorder="1" applyAlignment="1" applyProtection="1">
      <alignment vertical="center"/>
      <protection/>
    </xf>
    <xf numFmtId="180" fontId="9" fillId="0" borderId="29" xfId="0" applyNumberFormat="1" applyFont="1" applyBorder="1" applyAlignment="1" applyProtection="1">
      <alignment vertical="center"/>
      <protection/>
    </xf>
    <xf numFmtId="180" fontId="9" fillId="0" borderId="31" xfId="0" applyNumberFormat="1" applyFont="1" applyBorder="1" applyAlignment="1" applyProtection="1">
      <alignment vertical="center"/>
      <protection/>
    </xf>
    <xf numFmtId="180" fontId="9" fillId="0" borderId="29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29" xfId="0" applyNumberFormat="1" applyFont="1" applyBorder="1" applyAlignment="1" applyProtection="1">
      <alignment horizontal="center" vertical="center"/>
      <protection/>
    </xf>
    <xf numFmtId="180" fontId="9" fillId="0" borderId="32" xfId="0" applyNumberFormat="1" applyFont="1" applyBorder="1" applyAlignment="1" applyProtection="1">
      <alignment horizontal="right" vertical="center"/>
      <protection/>
    </xf>
    <xf numFmtId="180" fontId="9" fillId="0" borderId="20" xfId="0" applyNumberFormat="1" applyFont="1" applyBorder="1" applyAlignment="1" applyProtection="1">
      <alignment vertical="center"/>
      <protection/>
    </xf>
    <xf numFmtId="180" fontId="9" fillId="0" borderId="33" xfId="0" applyNumberFormat="1" applyFont="1" applyBorder="1" applyAlignment="1" applyProtection="1">
      <alignment vertical="center"/>
      <protection/>
    </xf>
    <xf numFmtId="180" fontId="9" fillId="0" borderId="21" xfId="0" applyNumberFormat="1" applyFont="1" applyBorder="1" applyAlignment="1" applyProtection="1">
      <alignment vertical="center"/>
      <protection/>
    </xf>
    <xf numFmtId="180" fontId="1" fillId="0" borderId="0" xfId="0" applyNumberFormat="1" applyFont="1" applyAlignment="1">
      <alignment vertical="center"/>
    </xf>
    <xf numFmtId="180" fontId="11" fillId="0" borderId="11" xfId="0" applyNumberFormat="1" applyFont="1" applyBorder="1" applyAlignment="1" applyProtection="1">
      <alignment horizontal="right" vertical="center"/>
      <protection locked="0"/>
    </xf>
    <xf numFmtId="180" fontId="11" fillId="0" borderId="34" xfId="0" applyNumberFormat="1" applyFont="1" applyBorder="1" applyAlignment="1" applyProtection="1">
      <alignment horizontal="right" vertical="center"/>
      <protection locked="0"/>
    </xf>
    <xf numFmtId="180" fontId="9" fillId="0" borderId="35" xfId="0" applyNumberFormat="1" applyFont="1" applyBorder="1" applyAlignment="1" applyProtection="1">
      <alignment horizontal="right" vertical="center"/>
      <protection/>
    </xf>
    <xf numFmtId="180" fontId="9" fillId="0" borderId="36" xfId="0" applyNumberFormat="1" applyFont="1" applyBorder="1" applyAlignment="1" applyProtection="1">
      <alignment horizontal="right" vertical="center"/>
      <protection/>
    </xf>
    <xf numFmtId="180" fontId="9" fillId="0" borderId="37" xfId="0" applyNumberFormat="1" applyFont="1" applyBorder="1" applyAlignment="1" applyProtection="1">
      <alignment horizontal="right" vertical="center"/>
      <protection/>
    </xf>
    <xf numFmtId="180" fontId="9" fillId="0" borderId="38" xfId="0" applyNumberFormat="1" applyFont="1" applyBorder="1" applyAlignment="1" applyProtection="1">
      <alignment horizontal="right" vertical="center"/>
      <protection/>
    </xf>
    <xf numFmtId="180" fontId="11" fillId="0" borderId="38" xfId="0" applyNumberFormat="1" applyFont="1" applyBorder="1" applyAlignment="1" applyProtection="1">
      <alignment horizontal="right" vertical="center"/>
      <protection locked="0"/>
    </xf>
    <xf numFmtId="180" fontId="11" fillId="0" borderId="39" xfId="0" applyNumberFormat="1" applyFont="1" applyBorder="1" applyAlignment="1" applyProtection="1">
      <alignment horizontal="right" vertical="center"/>
      <protection locked="0"/>
    </xf>
    <xf numFmtId="180" fontId="9" fillId="0" borderId="34" xfId="0" applyNumberFormat="1" applyFont="1" applyBorder="1" applyAlignment="1" applyProtection="1">
      <alignment horizontal="right" vertical="center"/>
      <protection/>
    </xf>
    <xf numFmtId="180" fontId="9" fillId="0" borderId="21" xfId="0" applyNumberFormat="1" applyFont="1" applyBorder="1" applyAlignment="1" applyProtection="1">
      <alignment horizontal="right" vertical="center"/>
      <protection/>
    </xf>
    <xf numFmtId="180" fontId="9" fillId="0" borderId="40" xfId="0" applyNumberFormat="1" applyFont="1" applyBorder="1" applyAlignment="1" applyProtection="1">
      <alignment horizontal="right" vertical="center"/>
      <protection/>
    </xf>
    <xf numFmtId="180" fontId="9" fillId="0" borderId="41" xfId="0" applyNumberFormat="1" applyFont="1" applyBorder="1" applyAlignment="1" applyProtection="1">
      <alignment horizontal="right" vertical="center"/>
      <protection/>
    </xf>
    <xf numFmtId="180" fontId="9" fillId="0" borderId="13" xfId="0" applyNumberFormat="1" applyFont="1" applyBorder="1" applyAlignment="1" applyProtection="1">
      <alignment horizontal="right" vertical="center"/>
      <protection/>
    </xf>
    <xf numFmtId="180" fontId="9" fillId="0" borderId="16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 quotePrefix="1">
      <alignment horizontal="left" vertical="center"/>
      <protection/>
    </xf>
    <xf numFmtId="180" fontId="9" fillId="0" borderId="16" xfId="0" applyNumberFormat="1" applyFont="1" applyBorder="1" applyAlignment="1" applyProtection="1" quotePrefix="1">
      <alignment horizontal="center" vertical="center"/>
      <protection/>
    </xf>
    <xf numFmtId="180" fontId="9" fillId="0" borderId="16" xfId="0" applyNumberFormat="1" applyFont="1" applyBorder="1" applyAlignment="1" applyProtection="1" quotePrefix="1">
      <alignment horizontal="left" vertical="center"/>
      <protection/>
    </xf>
    <xf numFmtId="180" fontId="9" fillId="0" borderId="29" xfId="0" applyNumberFormat="1" applyFont="1" applyBorder="1" applyAlignment="1" applyProtection="1">
      <alignment horizontal="left" vertical="center"/>
      <protection/>
    </xf>
    <xf numFmtId="180" fontId="9" fillId="0" borderId="31" xfId="0" applyNumberFormat="1" applyFont="1" applyBorder="1" applyAlignment="1" applyProtection="1">
      <alignment horizontal="left" vertical="center"/>
      <protection/>
    </xf>
    <xf numFmtId="180" fontId="9" fillId="0" borderId="35" xfId="0" applyNumberFormat="1" applyFont="1" applyBorder="1" applyAlignment="1" applyProtection="1">
      <alignment horizontal="left" vertical="center"/>
      <protection/>
    </xf>
    <xf numFmtId="180" fontId="9" fillId="0" borderId="42" xfId="0" applyNumberFormat="1" applyFont="1" applyBorder="1" applyAlignment="1" applyProtection="1">
      <alignment horizontal="left" vertical="center"/>
      <protection/>
    </xf>
    <xf numFmtId="180" fontId="12" fillId="24" borderId="10" xfId="0" applyNumberFormat="1" applyFont="1" applyFill="1" applyBorder="1" applyAlignment="1" applyProtection="1">
      <alignment horizontal="left" vertical="center"/>
      <protection locked="0"/>
    </xf>
    <xf numFmtId="180" fontId="12" fillId="24" borderId="10" xfId="0" applyNumberFormat="1" applyFont="1" applyFill="1" applyBorder="1" applyAlignment="1" applyProtection="1">
      <alignment vertical="center"/>
      <protection locked="0"/>
    </xf>
    <xf numFmtId="180" fontId="12" fillId="24" borderId="10" xfId="0" applyNumberFormat="1" applyFont="1" applyFill="1" applyBorder="1" applyAlignment="1" applyProtection="1" quotePrefix="1">
      <alignment horizontal="left" vertical="center"/>
      <protection locked="0"/>
    </xf>
    <xf numFmtId="180" fontId="12" fillId="24" borderId="10" xfId="0" applyNumberFormat="1" applyFont="1" applyFill="1" applyBorder="1" applyAlignment="1" applyProtection="1">
      <alignment vertical="center"/>
      <protection/>
    </xf>
    <xf numFmtId="180" fontId="12" fillId="24" borderId="10" xfId="0" applyNumberFormat="1" applyFont="1" applyFill="1" applyBorder="1" applyAlignment="1" applyProtection="1">
      <alignment horizontal="left" vertical="center"/>
      <protection/>
    </xf>
    <xf numFmtId="180" fontId="13" fillId="4" borderId="10" xfId="0" applyNumberFormat="1" applyFont="1" applyFill="1" applyBorder="1" applyAlignment="1" applyProtection="1">
      <alignment vertical="center"/>
      <protection locked="0"/>
    </xf>
    <xf numFmtId="180" fontId="13" fillId="4" borderId="10" xfId="0" applyNumberFormat="1" applyFont="1" applyFill="1" applyBorder="1" applyAlignment="1" applyProtection="1">
      <alignment vertical="center"/>
      <protection/>
    </xf>
    <xf numFmtId="38" fontId="9" fillId="0" borderId="12" xfId="49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188" fontId="9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 applyProtection="1" quotePrefix="1">
      <alignment horizontal="left" vertical="center"/>
      <protection/>
    </xf>
    <xf numFmtId="186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38" fontId="9" fillId="0" borderId="16" xfId="49" applyFont="1" applyBorder="1" applyAlignment="1" applyProtection="1">
      <alignment horizontal="center" vertical="center" shrinkToFit="1"/>
      <protection/>
    </xf>
    <xf numFmtId="38" fontId="9" fillId="0" borderId="27" xfId="49" applyFont="1" applyBorder="1" applyAlignment="1" applyProtection="1">
      <alignment horizontal="center" vertical="center" shrinkToFit="1"/>
      <protection/>
    </xf>
    <xf numFmtId="38" fontId="9" fillId="0" borderId="10" xfId="49" applyFont="1" applyBorder="1" applyAlignment="1" applyProtection="1">
      <alignment horizontal="center" vertical="center" shrinkToFit="1"/>
      <protection/>
    </xf>
    <xf numFmtId="38" fontId="9" fillId="0" borderId="43" xfId="49" applyFont="1" applyBorder="1" applyAlignment="1" applyProtection="1">
      <alignment vertical="center"/>
      <protection/>
    </xf>
    <xf numFmtId="38" fontId="9" fillId="0" borderId="21" xfId="49" applyFont="1" applyBorder="1" applyAlignment="1" applyProtection="1" quotePrefix="1">
      <alignment horizontal="center" vertical="center"/>
      <protection/>
    </xf>
    <xf numFmtId="38" fontId="9" fillId="0" borderId="12" xfId="49" applyFont="1" applyBorder="1" applyAlignment="1" applyProtection="1" quotePrefix="1">
      <alignment horizontal="center" vertical="center"/>
      <protection/>
    </xf>
    <xf numFmtId="38" fontId="9" fillId="0" borderId="10" xfId="49" applyFont="1" applyBorder="1" applyAlignment="1" applyProtection="1" quotePrefix="1">
      <alignment horizontal="center" vertical="center"/>
      <protection/>
    </xf>
    <xf numFmtId="38" fontId="6" fillId="0" borderId="0" xfId="49" applyFont="1" applyAlignment="1" applyProtection="1" quotePrefix="1">
      <alignment horizontal="center" vertical="center"/>
      <protection/>
    </xf>
    <xf numFmtId="38" fontId="9" fillId="0" borderId="14" xfId="49" applyFont="1" applyBorder="1" applyAlignment="1" applyProtection="1" quotePrefix="1">
      <alignment horizontal="center" vertical="center"/>
      <protection/>
    </xf>
    <xf numFmtId="38" fontId="9" fillId="0" borderId="27" xfId="49" applyFont="1" applyBorder="1" applyAlignment="1" applyProtection="1" quotePrefix="1">
      <alignment horizontal="center" vertical="center"/>
      <protection/>
    </xf>
    <xf numFmtId="38" fontId="9" fillId="0" borderId="18" xfId="49" applyFont="1" applyBorder="1" applyAlignment="1" applyProtection="1" quotePrefix="1">
      <alignment horizontal="center" vertical="center"/>
      <protection/>
    </xf>
    <xf numFmtId="38" fontId="9" fillId="0" borderId="22" xfId="49" applyFont="1" applyBorder="1" applyAlignment="1" applyProtection="1" quotePrefix="1">
      <alignment horizontal="center" vertical="center"/>
      <protection/>
    </xf>
    <xf numFmtId="38" fontId="9" fillId="0" borderId="44" xfId="49" applyFont="1" applyBorder="1" applyAlignment="1" applyProtection="1">
      <alignment horizontal="center" vertical="center"/>
      <protection/>
    </xf>
    <xf numFmtId="38" fontId="9" fillId="0" borderId="27" xfId="49" applyFont="1" applyBorder="1" applyAlignment="1" applyProtection="1">
      <alignment horizontal="center" vertical="center"/>
      <protection/>
    </xf>
    <xf numFmtId="38" fontId="9" fillId="0" borderId="43" xfId="49" applyFont="1" applyBorder="1" applyAlignment="1" applyProtection="1">
      <alignment horizontal="right" vertical="center"/>
      <protection/>
    </xf>
    <xf numFmtId="38" fontId="9" fillId="0" borderId="10" xfId="49" applyFont="1" applyBorder="1" applyAlignment="1" applyProtection="1">
      <alignment horizontal="right" vertical="center"/>
      <protection/>
    </xf>
    <xf numFmtId="189" fontId="9" fillId="0" borderId="14" xfId="49" applyNumberFormat="1" applyFont="1" applyBorder="1" applyAlignment="1" applyProtection="1">
      <alignment vertical="center"/>
      <protection/>
    </xf>
    <xf numFmtId="40" fontId="9" fillId="0" borderId="43" xfId="49" applyNumberFormat="1" applyFont="1" applyBorder="1" applyAlignment="1" applyProtection="1">
      <alignment vertical="center"/>
      <protection/>
    </xf>
    <xf numFmtId="40" fontId="9" fillId="0" borderId="10" xfId="49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179" fontId="5" fillId="0" borderId="12" xfId="0" applyNumberFormat="1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179" fontId="5" fillId="0" borderId="17" xfId="0" applyNumberFormat="1" applyFont="1" applyBorder="1" applyAlignment="1" applyProtection="1">
      <alignment vertical="center"/>
      <protection/>
    </xf>
    <xf numFmtId="179" fontId="5" fillId="0" borderId="32" xfId="0" applyNumberFormat="1" applyFont="1" applyBorder="1" applyAlignment="1" applyProtection="1">
      <alignment horizontal="centerContinuous" vertical="center"/>
      <protection/>
    </xf>
    <xf numFmtId="180" fontId="5" fillId="0" borderId="11" xfId="0" applyNumberFormat="1" applyFont="1" applyBorder="1" applyAlignment="1" applyProtection="1">
      <alignment horizontal="centerContinuous" vertical="center"/>
      <protection/>
    </xf>
    <xf numFmtId="179" fontId="5" fillId="0" borderId="11" xfId="0" applyNumberFormat="1" applyFont="1" applyBorder="1" applyAlignment="1" applyProtection="1">
      <alignment horizontal="centerContinuous" vertical="center"/>
      <protection/>
    </xf>
    <xf numFmtId="179" fontId="5" fillId="0" borderId="10" xfId="0" applyNumberFormat="1" applyFont="1" applyBorder="1" applyAlignment="1" applyProtection="1" quotePrefix="1">
      <alignment horizontal="centerContinuous" vertical="center"/>
      <protection/>
    </xf>
    <xf numFmtId="179" fontId="5" fillId="0" borderId="10" xfId="0" applyNumberFormat="1" applyFont="1" applyBorder="1" applyAlignment="1" applyProtection="1">
      <alignment horizontal="centerContinuous" vertical="center"/>
      <protection/>
    </xf>
    <xf numFmtId="179" fontId="5" fillId="0" borderId="19" xfId="0" applyNumberFormat="1" applyFont="1" applyBorder="1" applyAlignment="1" applyProtection="1" quotePrefix="1">
      <alignment horizontal="center" vertical="center"/>
      <protection locked="0"/>
    </xf>
    <xf numFmtId="176" fontId="5" fillId="0" borderId="45" xfId="0" applyNumberFormat="1" applyFont="1" applyBorder="1" applyAlignment="1" applyProtection="1">
      <alignment horizontal="center" vertical="center"/>
      <protection/>
    </xf>
    <xf numFmtId="179" fontId="5" fillId="0" borderId="45" xfId="0" applyNumberFormat="1" applyFont="1" applyBorder="1" applyAlignment="1" applyProtection="1" quotePrefix="1">
      <alignment horizontal="center" vertical="center"/>
      <protection/>
    </xf>
    <xf numFmtId="179" fontId="5" fillId="0" borderId="46" xfId="0" applyNumberFormat="1" applyFont="1" applyBorder="1" applyAlignment="1" applyProtection="1" quotePrefix="1">
      <alignment horizontal="center" vertical="center"/>
      <protection/>
    </xf>
    <xf numFmtId="179" fontId="5" fillId="0" borderId="47" xfId="0" applyNumberFormat="1" applyFont="1" applyBorder="1" applyAlignment="1" applyProtection="1">
      <alignment horizontal="center" vertical="center"/>
      <protection/>
    </xf>
    <xf numFmtId="180" fontId="5" fillId="0" borderId="46" xfId="0" applyNumberFormat="1" applyFont="1" applyBorder="1" applyAlignment="1" applyProtection="1">
      <alignment horizontal="center" vertical="center" shrinkToFit="1"/>
      <protection/>
    </xf>
    <xf numFmtId="179" fontId="5" fillId="0" borderId="45" xfId="0" applyNumberFormat="1" applyFont="1" applyBorder="1" applyAlignment="1" applyProtection="1">
      <alignment horizontal="center" vertical="center"/>
      <protection/>
    </xf>
    <xf numFmtId="179" fontId="5" fillId="0" borderId="13" xfId="0" applyNumberFormat="1" applyFont="1" applyBorder="1" applyAlignment="1" applyProtection="1">
      <alignment vertical="center"/>
      <protection/>
    </xf>
    <xf numFmtId="179" fontId="5" fillId="0" borderId="48" xfId="0" applyNumberFormat="1" applyFont="1" applyBorder="1" applyAlignment="1" applyProtection="1">
      <alignment horizontal="right" vertical="center"/>
      <protection/>
    </xf>
    <xf numFmtId="179" fontId="5" fillId="0" borderId="16" xfId="0" applyNumberFormat="1" applyFont="1" applyBorder="1" applyAlignment="1" applyProtection="1">
      <alignment horizontal="center" vertical="center"/>
      <protection/>
    </xf>
    <xf numFmtId="180" fontId="5" fillId="0" borderId="48" xfId="0" applyNumberFormat="1" applyFont="1" applyBorder="1" applyAlignment="1" applyProtection="1">
      <alignment vertical="center"/>
      <protection/>
    </xf>
    <xf numFmtId="179" fontId="5" fillId="0" borderId="49" xfId="0" applyNumberFormat="1" applyFont="1" applyBorder="1" applyAlignment="1" applyProtection="1">
      <alignment horizontal="right" vertical="center"/>
      <protection/>
    </xf>
    <xf numFmtId="180" fontId="5" fillId="0" borderId="48" xfId="0" applyNumberFormat="1" applyFont="1" applyBorder="1" applyAlignment="1" applyProtection="1">
      <alignment horizontal="right" vertical="center"/>
      <protection/>
    </xf>
    <xf numFmtId="38" fontId="5" fillId="0" borderId="29" xfId="49" applyFont="1" applyBorder="1" applyAlignment="1" applyProtection="1">
      <alignment horizontal="center" vertical="center"/>
      <protection locked="0"/>
    </xf>
    <xf numFmtId="38" fontId="5" fillId="0" borderId="11" xfId="49" applyFont="1" applyBorder="1" applyAlignment="1" applyProtection="1">
      <alignment horizontal="center" vertical="center"/>
      <protection locked="0"/>
    </xf>
    <xf numFmtId="38" fontId="5" fillId="0" borderId="10" xfId="49" applyFont="1" applyBorder="1" applyAlignment="1" applyProtection="1">
      <alignment vertical="center"/>
      <protection locked="0"/>
    </xf>
    <xf numFmtId="38" fontId="5" fillId="0" borderId="0" xfId="49" applyFont="1" applyAlignment="1">
      <alignment vertical="center"/>
    </xf>
    <xf numFmtId="38" fontId="5" fillId="0" borderId="10" xfId="49" applyFont="1" applyBorder="1" applyAlignment="1" applyProtection="1">
      <alignment vertical="center"/>
      <protection/>
    </xf>
    <xf numFmtId="38" fontId="5" fillId="0" borderId="28" xfId="49" applyFont="1" applyBorder="1" applyAlignment="1" applyProtection="1">
      <alignment vertical="center"/>
      <protection/>
    </xf>
    <xf numFmtId="182" fontId="5" fillId="0" borderId="10" xfId="49" applyNumberFormat="1" applyFont="1" applyBorder="1" applyAlignment="1" applyProtection="1">
      <alignment vertical="center"/>
      <protection/>
    </xf>
    <xf numFmtId="38" fontId="5" fillId="0" borderId="11" xfId="49" applyFont="1" applyBorder="1" applyAlignment="1" applyProtection="1">
      <alignment vertical="center"/>
      <protection/>
    </xf>
    <xf numFmtId="179" fontId="5" fillId="0" borderId="50" xfId="0" applyNumberFormat="1" applyFont="1" applyBorder="1" applyAlignment="1" applyProtection="1" quotePrefix="1">
      <alignment horizontal="center" vertical="center"/>
      <protection/>
    </xf>
    <xf numFmtId="180" fontId="5" fillId="0" borderId="51" xfId="0" applyNumberFormat="1" applyFont="1" applyBorder="1" applyAlignment="1" applyProtection="1">
      <alignment horizontal="center" vertical="center" shrinkToFit="1"/>
      <protection/>
    </xf>
    <xf numFmtId="180" fontId="9" fillId="0" borderId="31" xfId="0" applyNumberFormat="1" applyFont="1" applyBorder="1" applyAlignment="1" applyProtection="1">
      <alignment horizontal="center" vertical="center"/>
      <protection/>
    </xf>
    <xf numFmtId="179" fontId="5" fillId="0" borderId="52" xfId="0" applyNumberFormat="1" applyFont="1" applyBorder="1" applyAlignment="1" applyProtection="1">
      <alignment horizontal="right" vertical="center"/>
      <protection/>
    </xf>
    <xf numFmtId="181" fontId="5" fillId="0" borderId="10" xfId="49" applyNumberFormat="1" applyFont="1" applyBorder="1" applyAlignment="1" applyProtection="1">
      <alignment horizontal="right" vertical="center"/>
      <protection locked="0"/>
    </xf>
    <xf numFmtId="38" fontId="5" fillId="0" borderId="10" xfId="49" applyNumberFormat="1" applyFont="1" applyBorder="1" applyAlignment="1" applyProtection="1">
      <alignment vertical="center"/>
      <protection/>
    </xf>
    <xf numFmtId="49" fontId="1" fillId="0" borderId="0" xfId="49" applyNumberFormat="1" applyFont="1" applyAlignment="1">
      <alignment vertical="center"/>
    </xf>
    <xf numFmtId="49" fontId="6" fillId="0" borderId="0" xfId="49" applyNumberFormat="1" applyFont="1" applyAlignment="1">
      <alignment vertical="center"/>
    </xf>
    <xf numFmtId="49" fontId="9" fillId="0" borderId="0" xfId="49" applyNumberFormat="1" applyFont="1" applyAlignment="1">
      <alignment vertical="center"/>
    </xf>
    <xf numFmtId="49" fontId="9" fillId="0" borderId="0" xfId="49" applyNumberFormat="1" applyFont="1" applyAlignment="1">
      <alignment vertical="center"/>
    </xf>
    <xf numFmtId="38" fontId="9" fillId="0" borderId="53" xfId="49" applyFont="1" applyBorder="1" applyAlignment="1" applyProtection="1">
      <alignment horizontal="center" vertical="center"/>
      <protection/>
    </xf>
    <xf numFmtId="178" fontId="5" fillId="0" borderId="10" xfId="49" applyNumberFormat="1" applyFont="1" applyBorder="1" applyAlignment="1" applyProtection="1">
      <alignment horizontal="center" vertical="center"/>
      <protection/>
    </xf>
    <xf numFmtId="192" fontId="5" fillId="0" borderId="10" xfId="49" applyNumberFormat="1" applyFont="1" applyBorder="1" applyAlignment="1" applyProtection="1">
      <alignment horizontal="center" vertical="center"/>
      <protection/>
    </xf>
    <xf numFmtId="179" fontId="5" fillId="0" borderId="54" xfId="0" applyNumberFormat="1" applyFont="1" applyBorder="1" applyAlignment="1" applyProtection="1">
      <alignment horizontal="right" vertical="center"/>
      <protection/>
    </xf>
    <xf numFmtId="180" fontId="13" fillId="4" borderId="10" xfId="0" applyNumberFormat="1" applyFont="1" applyFill="1" applyBorder="1" applyAlignment="1" applyProtection="1" quotePrefix="1">
      <alignment horizontal="left" vertical="center"/>
      <protection locked="0"/>
    </xf>
    <xf numFmtId="38" fontId="5" fillId="0" borderId="11" xfId="49" applyFont="1" applyBorder="1" applyAlignment="1" applyProtection="1" quotePrefix="1">
      <alignment horizontal="center" vertical="center"/>
      <protection/>
    </xf>
    <xf numFmtId="184" fontId="5" fillId="0" borderId="11" xfId="49" applyNumberFormat="1" applyFont="1" applyBorder="1" applyAlignment="1" applyProtection="1">
      <alignment vertical="center"/>
      <protection/>
    </xf>
    <xf numFmtId="40" fontId="5" fillId="0" borderId="10" xfId="49" applyNumberFormat="1" applyFont="1" applyBorder="1" applyAlignment="1" applyProtection="1">
      <alignment vertical="center"/>
      <protection/>
    </xf>
    <xf numFmtId="38" fontId="5" fillId="0" borderId="55" xfId="49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 quotePrefix="1">
      <alignment horizontal="left" vertical="center"/>
      <protection/>
    </xf>
    <xf numFmtId="0" fontId="15" fillId="0" borderId="0" xfId="0" applyFont="1" applyBorder="1" applyAlignment="1" applyProtection="1" quotePrefix="1">
      <alignment vertical="center"/>
      <protection/>
    </xf>
    <xf numFmtId="186" fontId="15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 quotePrefix="1">
      <alignment horizontal="right" vertical="center"/>
      <protection/>
    </xf>
    <xf numFmtId="0" fontId="15" fillId="0" borderId="0" xfId="0" applyFont="1" applyBorder="1" applyAlignment="1" applyProtection="1" quotePrefix="1">
      <alignment horizontal="center" vertical="center"/>
      <protection/>
    </xf>
    <xf numFmtId="187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center"/>
    </xf>
    <xf numFmtId="186" fontId="15" fillId="0" borderId="0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quotePrefix="1">
      <alignment horizontal="left" vertical="center"/>
    </xf>
    <xf numFmtId="188" fontId="15" fillId="0" borderId="0" xfId="0" applyNumberFormat="1" applyFont="1" applyBorder="1" applyAlignment="1" applyProtection="1">
      <alignment horizontal="righ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 quotePrefix="1">
      <alignment horizontal="left" vertical="center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15" fillId="0" borderId="38" xfId="0" applyFont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center" vertical="center"/>
      <protection/>
    </xf>
    <xf numFmtId="188" fontId="15" fillId="0" borderId="36" xfId="0" applyNumberFormat="1" applyFont="1" applyBorder="1" applyAlignment="1" applyProtection="1">
      <alignment horizontal="right" vertical="center"/>
      <protection/>
    </xf>
    <xf numFmtId="188" fontId="15" fillId="0" borderId="56" xfId="0" applyNumberFormat="1" applyFont="1" applyBorder="1" applyAlignment="1" applyProtection="1">
      <alignment horizontal="right" vertical="center"/>
      <protection/>
    </xf>
    <xf numFmtId="188" fontId="15" fillId="0" borderId="55" xfId="0" applyNumberFormat="1" applyFont="1" applyBorder="1" applyAlignment="1" applyProtection="1">
      <alignment horizontal="right" vertical="center"/>
      <protection/>
    </xf>
    <xf numFmtId="188" fontId="15" fillId="0" borderId="36" xfId="0" applyNumberFormat="1" applyFont="1" applyBorder="1" applyAlignment="1" applyProtection="1">
      <alignment horizontal="center" vertical="center"/>
      <protection/>
    </xf>
    <xf numFmtId="188" fontId="15" fillId="0" borderId="56" xfId="0" applyNumberFormat="1" applyFont="1" applyBorder="1" applyAlignment="1" applyProtection="1">
      <alignment horizontal="center" vertical="center"/>
      <protection/>
    </xf>
    <xf numFmtId="188" fontId="15" fillId="0" borderId="11" xfId="0" applyNumberFormat="1" applyFont="1" applyBorder="1" applyAlignment="1" applyProtection="1">
      <alignment horizontal="center" vertical="center"/>
      <protection/>
    </xf>
    <xf numFmtId="188" fontId="15" fillId="0" borderId="34" xfId="0" applyNumberFormat="1" applyFont="1" applyBorder="1" applyAlignment="1" applyProtection="1">
      <alignment horizontal="right" vertical="center"/>
      <protection/>
    </xf>
    <xf numFmtId="188" fontId="15" fillId="0" borderId="38" xfId="0" applyNumberFormat="1" applyFont="1" applyBorder="1" applyAlignment="1" applyProtection="1">
      <alignment horizontal="right" vertical="center"/>
      <protection/>
    </xf>
    <xf numFmtId="188" fontId="15" fillId="0" borderId="39" xfId="0" applyNumberFormat="1" applyFont="1" applyBorder="1" applyAlignment="1" applyProtection="1">
      <alignment horizontal="right" vertical="center"/>
      <protection/>
    </xf>
    <xf numFmtId="188" fontId="15" fillId="0" borderId="23" xfId="0" applyNumberFormat="1" applyFont="1" applyBorder="1" applyAlignment="1" applyProtection="1">
      <alignment horizontal="right" vertical="center"/>
      <protection/>
    </xf>
    <xf numFmtId="188" fontId="15" fillId="0" borderId="57" xfId="0" applyNumberFormat="1" applyFont="1" applyBorder="1" applyAlignment="1" applyProtection="1">
      <alignment horizontal="right" vertical="center"/>
      <protection/>
    </xf>
    <xf numFmtId="188" fontId="15" fillId="0" borderId="24" xfId="0" applyNumberFormat="1" applyFont="1" applyBorder="1" applyAlignment="1" applyProtection="1">
      <alignment horizontal="right" vertical="center"/>
      <protection/>
    </xf>
    <xf numFmtId="188" fontId="15" fillId="0" borderId="23" xfId="0" applyNumberFormat="1" applyFont="1" applyBorder="1" applyAlignment="1" applyProtection="1">
      <alignment horizontal="center" vertical="center"/>
      <protection/>
    </xf>
    <xf numFmtId="188" fontId="15" fillId="0" borderId="57" xfId="0" applyNumberFormat="1" applyFont="1" applyBorder="1" applyAlignment="1" applyProtection="1">
      <alignment horizontal="center" vertical="center"/>
      <protection/>
    </xf>
    <xf numFmtId="188" fontId="15" fillId="0" borderId="58" xfId="0" applyNumberFormat="1" applyFont="1" applyBorder="1" applyAlignment="1" applyProtection="1">
      <alignment horizontal="right" vertical="center"/>
      <protection/>
    </xf>
    <xf numFmtId="188" fontId="15" fillId="0" borderId="5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 quotePrefix="1">
      <alignment horizontal="center" vertical="center"/>
      <protection/>
    </xf>
    <xf numFmtId="177" fontId="15" fillId="0" borderId="0" xfId="0" applyNumberFormat="1" applyFont="1" applyBorder="1" applyAlignment="1" applyProtection="1">
      <alignment vertical="center"/>
      <protection/>
    </xf>
    <xf numFmtId="0" fontId="15" fillId="0" borderId="61" xfId="0" applyFont="1" applyBorder="1" applyAlignment="1" applyProtection="1">
      <alignment horizontal="center" vertical="center"/>
      <protection/>
    </xf>
    <xf numFmtId="0" fontId="15" fillId="0" borderId="38" xfId="0" applyFont="1" applyBorder="1" applyAlignment="1" applyProtection="1" quotePrefix="1">
      <alignment horizontal="center" vertical="center"/>
      <protection/>
    </xf>
    <xf numFmtId="0" fontId="15" fillId="0" borderId="62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vertical="center"/>
      <protection/>
    </xf>
    <xf numFmtId="0" fontId="15" fillId="0" borderId="38" xfId="0" applyFont="1" applyBorder="1" applyAlignment="1" applyProtection="1">
      <alignment horizontal="left" vertical="center"/>
      <protection/>
    </xf>
    <xf numFmtId="0" fontId="15" fillId="0" borderId="38" xfId="0" applyFont="1" applyBorder="1" applyAlignment="1" applyProtection="1">
      <alignment vertical="center"/>
      <protection/>
    </xf>
    <xf numFmtId="1" fontId="15" fillId="0" borderId="38" xfId="0" applyNumberFormat="1" applyFont="1" applyBorder="1" applyAlignment="1" applyProtection="1">
      <alignment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179" fontId="15" fillId="0" borderId="38" xfId="0" applyNumberFormat="1" applyFont="1" applyBorder="1" applyAlignment="1" applyProtection="1">
      <alignment vertical="center"/>
      <protection/>
    </xf>
    <xf numFmtId="0" fontId="15" fillId="0" borderId="36" xfId="0" applyFont="1" applyBorder="1" applyAlignment="1" applyProtection="1" quotePrefix="1">
      <alignment vertical="center"/>
      <protection/>
    </xf>
    <xf numFmtId="0" fontId="15" fillId="0" borderId="38" xfId="0" applyFont="1" applyBorder="1" applyAlignment="1" applyProtection="1" quotePrefix="1">
      <alignment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179" fontId="15" fillId="0" borderId="39" xfId="0" applyNumberFormat="1" applyFont="1" applyBorder="1" applyAlignment="1" applyProtection="1">
      <alignment horizontal="right" vertical="center"/>
      <protection/>
    </xf>
    <xf numFmtId="179" fontId="15" fillId="0" borderId="13" xfId="0" applyNumberFormat="1" applyFont="1" applyBorder="1" applyAlignment="1" applyProtection="1">
      <alignment horizontal="right" vertical="center"/>
      <protection/>
    </xf>
    <xf numFmtId="176" fontId="15" fillId="0" borderId="0" xfId="0" applyNumberFormat="1" applyFont="1" applyBorder="1" applyAlignment="1" applyProtection="1">
      <alignment vertical="center"/>
      <protection/>
    </xf>
    <xf numFmtId="0" fontId="15" fillId="0" borderId="56" xfId="0" applyFont="1" applyBorder="1" applyAlignment="1" applyProtection="1">
      <alignment vertical="center"/>
      <protection/>
    </xf>
    <xf numFmtId="2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 quotePrefix="1">
      <alignment horizontal="left" vertical="center"/>
      <protection/>
    </xf>
    <xf numFmtId="0" fontId="15" fillId="0" borderId="38" xfId="0" applyFont="1" applyBorder="1" applyAlignment="1" applyProtection="1">
      <alignment horizontal="right" vertical="center"/>
      <protection/>
    </xf>
    <xf numFmtId="2" fontId="15" fillId="0" borderId="36" xfId="0" applyNumberFormat="1" applyFont="1" applyBorder="1" applyAlignment="1" applyProtection="1" quotePrefix="1">
      <alignment horizontal="left" vertical="center"/>
      <protection/>
    </xf>
    <xf numFmtId="2" fontId="15" fillId="0" borderId="38" xfId="0" applyNumberFormat="1" applyFont="1" applyBorder="1" applyAlignment="1" applyProtection="1" quotePrefix="1">
      <alignment horizontal="left" vertical="center"/>
      <protection/>
    </xf>
    <xf numFmtId="0" fontId="15" fillId="0" borderId="16" xfId="0" applyFont="1" applyBorder="1" applyAlignment="1" applyProtection="1">
      <alignment vertical="center"/>
      <protection/>
    </xf>
    <xf numFmtId="179" fontId="15" fillId="0" borderId="0" xfId="0" applyNumberFormat="1" applyFont="1" applyBorder="1" applyAlignment="1" applyProtection="1">
      <alignment vertical="center"/>
      <protection/>
    </xf>
    <xf numFmtId="0" fontId="15" fillId="0" borderId="63" xfId="0" applyFont="1" applyBorder="1" applyAlignment="1" applyProtection="1">
      <alignment vertical="center"/>
      <protection/>
    </xf>
    <xf numFmtId="179" fontId="15" fillId="0" borderId="64" xfId="0" applyNumberFormat="1" applyFont="1" applyBorder="1" applyAlignment="1" applyProtection="1">
      <alignment horizontal="right" vertical="center"/>
      <protection/>
    </xf>
    <xf numFmtId="2" fontId="15" fillId="0" borderId="0" xfId="0" applyNumberFormat="1" applyFont="1" applyBorder="1" applyAlignment="1" applyProtection="1">
      <alignment vertical="center"/>
      <protection/>
    </xf>
    <xf numFmtId="0" fontId="15" fillId="0" borderId="38" xfId="0" applyFont="1" applyBorder="1" applyAlignment="1" applyProtection="1" quotePrefix="1">
      <alignment horizontal="left" vertical="center"/>
      <protection/>
    </xf>
    <xf numFmtId="0" fontId="15" fillId="0" borderId="65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 quotePrefix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vertical="center"/>
      <protection/>
    </xf>
    <xf numFmtId="0" fontId="15" fillId="0" borderId="58" xfId="0" applyFont="1" applyBorder="1" applyAlignment="1" applyProtection="1">
      <alignment horizontal="center" vertical="center"/>
      <protection/>
    </xf>
    <xf numFmtId="2" fontId="15" fillId="0" borderId="58" xfId="0" applyNumberFormat="1" applyFont="1" applyBorder="1" applyAlignment="1" applyProtection="1">
      <alignment vertical="center"/>
      <protection/>
    </xf>
    <xf numFmtId="2" fontId="15" fillId="0" borderId="23" xfId="0" applyNumberFormat="1" applyFont="1" applyBorder="1" applyAlignment="1" applyProtection="1">
      <alignment vertical="center"/>
      <protection/>
    </xf>
    <xf numFmtId="179" fontId="15" fillId="0" borderId="57" xfId="0" applyNumberFormat="1" applyFont="1" applyBorder="1" applyAlignment="1" applyProtection="1">
      <alignment vertical="center"/>
      <protection/>
    </xf>
    <xf numFmtId="0" fontId="15" fillId="0" borderId="58" xfId="0" applyFont="1" applyBorder="1" applyAlignment="1" applyProtection="1" quotePrefix="1">
      <alignment horizontal="left" vertical="center"/>
      <protection/>
    </xf>
    <xf numFmtId="0" fontId="15" fillId="0" borderId="57" xfId="0" applyFont="1" applyBorder="1" applyAlignment="1" applyProtection="1">
      <alignment vertical="center"/>
      <protection/>
    </xf>
    <xf numFmtId="0" fontId="15" fillId="0" borderId="23" xfId="0" applyFont="1" applyBorder="1" applyAlignment="1" applyProtection="1">
      <alignment vertical="center"/>
      <protection/>
    </xf>
    <xf numFmtId="179" fontId="15" fillId="0" borderId="59" xfId="0" applyNumberFormat="1" applyFont="1" applyBorder="1" applyAlignment="1" applyProtection="1">
      <alignment horizontal="right" vertical="center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15" fillId="0" borderId="66" xfId="0" applyFont="1" applyBorder="1" applyAlignment="1" applyProtection="1">
      <alignment vertical="center"/>
      <protection/>
    </xf>
    <xf numFmtId="2" fontId="15" fillId="0" borderId="0" xfId="0" applyNumberFormat="1" applyFont="1" applyBorder="1" applyAlignment="1" applyProtection="1" quotePrefix="1">
      <alignment horizontal="center" vertical="center"/>
      <protection/>
    </xf>
    <xf numFmtId="0" fontId="15" fillId="0" borderId="29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5" fillId="0" borderId="67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55" xfId="0" applyFont="1" applyBorder="1" applyAlignment="1">
      <alignment horizontal="center" vertical="center"/>
    </xf>
    <xf numFmtId="179" fontId="16" fillId="0" borderId="55" xfId="0" applyNumberFormat="1" applyFont="1" applyBorder="1" applyAlignment="1">
      <alignment horizontal="right" vertical="center"/>
    </xf>
    <xf numFmtId="0" fontId="15" fillId="0" borderId="53" xfId="0" applyFont="1" applyBorder="1" applyAlignment="1" applyProtection="1">
      <alignment vertical="center"/>
      <protection/>
    </xf>
    <xf numFmtId="0" fontId="15" fillId="0" borderId="68" xfId="0" applyFont="1" applyBorder="1" applyAlignment="1" applyProtection="1">
      <alignment vertical="center"/>
      <protection/>
    </xf>
    <xf numFmtId="0" fontId="16" fillId="0" borderId="68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5" fillId="0" borderId="69" xfId="0" applyFont="1" applyBorder="1" applyAlignment="1" applyProtection="1">
      <alignment horizontal="right" vertical="center"/>
      <protection/>
    </xf>
    <xf numFmtId="179" fontId="15" fillId="0" borderId="43" xfId="0" applyNumberFormat="1" applyFont="1" applyBorder="1" applyAlignment="1" applyProtection="1">
      <alignment horizontal="right" vertical="center"/>
      <protection/>
    </xf>
    <xf numFmtId="179" fontId="15" fillId="0" borderId="69" xfId="0" applyNumberFormat="1" applyFont="1" applyBorder="1" applyAlignment="1" applyProtection="1">
      <alignment horizontal="right" vertical="center"/>
      <protection/>
    </xf>
    <xf numFmtId="179" fontId="15" fillId="0" borderId="67" xfId="0" applyNumberFormat="1" applyFont="1" applyBorder="1" applyAlignment="1" applyProtection="1">
      <alignment horizontal="right" vertical="center"/>
      <protection/>
    </xf>
    <xf numFmtId="179" fontId="15" fillId="0" borderId="0" xfId="0" applyNumberFormat="1" applyFont="1" applyBorder="1" applyAlignment="1" applyProtection="1">
      <alignment horizontal="right" vertical="center"/>
      <protection/>
    </xf>
    <xf numFmtId="0" fontId="15" fillId="0" borderId="16" xfId="0" applyFont="1" applyBorder="1" applyAlignment="1" applyProtection="1" quotePrefix="1">
      <alignment horizontal="left" vertical="center"/>
      <protection/>
    </xf>
    <xf numFmtId="179" fontId="15" fillId="0" borderId="63" xfId="0" applyNumberFormat="1" applyFont="1" applyBorder="1" applyAlignment="1" applyProtection="1">
      <alignment horizontal="right" vertical="center"/>
      <protection/>
    </xf>
    <xf numFmtId="0" fontId="16" fillId="0" borderId="16" xfId="0" applyFont="1" applyBorder="1" applyAlignment="1">
      <alignment vertical="center"/>
    </xf>
    <xf numFmtId="179" fontId="15" fillId="0" borderId="63" xfId="0" applyNumberFormat="1" applyFont="1" applyBorder="1" applyAlignment="1" applyProtection="1" quotePrefix="1">
      <alignment horizontal="right" vertical="center"/>
      <protection/>
    </xf>
    <xf numFmtId="179" fontId="15" fillId="0" borderId="55" xfId="0" applyNumberFormat="1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179" fontId="15" fillId="0" borderId="56" xfId="0" applyNumberFormat="1" applyFont="1" applyBorder="1" applyAlignment="1" applyProtection="1" quotePrefix="1">
      <alignment horizontal="righ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67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67" xfId="0" applyFont="1" applyBorder="1" applyAlignment="1" applyProtection="1">
      <alignment horizontal="right" vertical="center"/>
      <protection/>
    </xf>
    <xf numFmtId="179" fontId="15" fillId="0" borderId="55" xfId="0" applyNumberFormat="1" applyFont="1" applyBorder="1" applyAlignment="1" applyProtection="1">
      <alignment vertical="center"/>
      <protection/>
    </xf>
    <xf numFmtId="179" fontId="15" fillId="0" borderId="56" xfId="0" applyNumberFormat="1" applyFont="1" applyBorder="1" applyAlignment="1" applyProtection="1">
      <alignment vertical="center"/>
      <protection/>
    </xf>
    <xf numFmtId="179" fontId="15" fillId="0" borderId="34" xfId="0" applyNumberFormat="1" applyFont="1" applyBorder="1" applyAlignment="1" applyProtection="1">
      <alignment horizontal="right" vertical="center"/>
      <protection/>
    </xf>
    <xf numFmtId="0" fontId="15" fillId="0" borderId="16" xfId="0" applyFont="1" applyBorder="1" applyAlignment="1" applyProtection="1">
      <alignment horizontal="right" vertical="center"/>
      <protection/>
    </xf>
    <xf numFmtId="0" fontId="15" fillId="0" borderId="63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horizontal="left" vertical="center"/>
    </xf>
    <xf numFmtId="179" fontId="15" fillId="0" borderId="70" xfId="0" applyNumberFormat="1" applyFont="1" applyBorder="1" applyAlignment="1" applyProtection="1">
      <alignment horizontal="right" vertical="center"/>
      <protection/>
    </xf>
    <xf numFmtId="0" fontId="16" fillId="0" borderId="43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5" fillId="0" borderId="63" xfId="0" applyFont="1" applyBorder="1" applyAlignment="1" applyProtection="1" quotePrefix="1">
      <alignment horizontal="left" vertical="center"/>
      <protection/>
    </xf>
    <xf numFmtId="179" fontId="15" fillId="0" borderId="55" xfId="0" applyNumberFormat="1" applyFont="1" applyBorder="1" applyAlignment="1" applyProtection="1" quotePrefix="1">
      <alignment vertical="center"/>
      <protection/>
    </xf>
    <xf numFmtId="179" fontId="15" fillId="0" borderId="56" xfId="0" applyNumberFormat="1" applyFont="1" applyBorder="1" applyAlignment="1" applyProtection="1" quotePrefix="1">
      <alignment vertical="center"/>
      <protection/>
    </xf>
    <xf numFmtId="0" fontId="15" fillId="0" borderId="16" xfId="0" applyFont="1" applyBorder="1" applyAlignment="1" applyProtection="1" quotePrefix="1">
      <alignment vertical="center"/>
      <protection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5" fillId="0" borderId="53" xfId="0" applyFont="1" applyBorder="1" applyAlignment="1" applyProtection="1" quotePrefix="1">
      <alignment horizontal="left" vertical="center"/>
      <protection/>
    </xf>
    <xf numFmtId="0" fontId="15" fillId="0" borderId="68" xfId="0" applyFont="1" applyBorder="1" applyAlignment="1" applyProtection="1" quotePrefix="1">
      <alignment horizontal="left" vertical="center"/>
      <protection/>
    </xf>
    <xf numFmtId="1" fontId="15" fillId="0" borderId="0" xfId="0" applyNumberFormat="1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6" fillId="0" borderId="24" xfId="0" applyFont="1" applyBorder="1" applyAlignment="1">
      <alignment horizontal="center" vertical="center"/>
    </xf>
    <xf numFmtId="179" fontId="16" fillId="0" borderId="24" xfId="0" applyNumberFormat="1" applyFont="1" applyBorder="1" applyAlignment="1">
      <alignment horizontal="right" vertical="center"/>
    </xf>
    <xf numFmtId="0" fontId="15" fillId="0" borderId="21" xfId="0" applyFont="1" applyBorder="1" applyAlignment="1" applyProtection="1" quotePrefix="1">
      <alignment horizontal="left" vertical="center"/>
      <protection/>
    </xf>
    <xf numFmtId="0" fontId="15" fillId="0" borderId="12" xfId="0" applyFont="1" applyBorder="1" applyAlignment="1" applyProtection="1" quotePrefix="1">
      <alignment horizontal="left"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6" fillId="0" borderId="2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79" fontId="15" fillId="0" borderId="24" xfId="0" applyNumberFormat="1" applyFont="1" applyBorder="1" applyAlignment="1" applyProtection="1">
      <alignment vertical="center"/>
      <protection/>
    </xf>
    <xf numFmtId="0" fontId="15" fillId="0" borderId="64" xfId="0" applyFont="1" applyBorder="1" applyAlignment="1" applyProtection="1">
      <alignment horizontal="left" vertical="center"/>
      <protection/>
    </xf>
    <xf numFmtId="0" fontId="15" fillId="0" borderId="64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 quotePrefix="1">
      <alignment horizontal="center" vertical="center"/>
      <protection/>
    </xf>
    <xf numFmtId="0" fontId="15" fillId="0" borderId="10" xfId="0" applyNumberFormat="1" applyFont="1" applyBorder="1" applyAlignment="1" applyProtection="1">
      <alignment horizontal="center" vertical="center"/>
      <protection/>
    </xf>
    <xf numFmtId="0" fontId="15" fillId="0" borderId="11" xfId="0" applyNumberFormat="1" applyFont="1" applyBorder="1" applyAlignment="1" applyProtection="1">
      <alignment horizontal="center" vertical="center"/>
      <protection/>
    </xf>
    <xf numFmtId="0" fontId="15" fillId="0" borderId="38" xfId="0" applyNumberFormat="1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1" fontId="15" fillId="0" borderId="11" xfId="0" applyNumberFormat="1" applyFont="1" applyBorder="1" applyAlignment="1" applyProtection="1" quotePrefix="1">
      <alignment horizontal="left" vertical="center"/>
      <protection/>
    </xf>
    <xf numFmtId="1" fontId="15" fillId="0" borderId="11" xfId="0" applyNumberFormat="1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 quotePrefix="1">
      <alignment horizontal="left" vertical="center"/>
      <protection/>
    </xf>
    <xf numFmtId="1" fontId="15" fillId="0" borderId="10" xfId="0" applyNumberFormat="1" applyFont="1" applyBorder="1" applyAlignment="1" applyProtection="1">
      <alignment vertical="center"/>
      <protection/>
    </xf>
    <xf numFmtId="176" fontId="15" fillId="0" borderId="11" xfId="0" applyNumberFormat="1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right" vertical="center"/>
      <protection/>
    </xf>
    <xf numFmtId="188" fontId="15" fillId="0" borderId="38" xfId="0" applyNumberFormat="1" applyFont="1" applyBorder="1" applyAlignment="1" applyProtection="1">
      <alignment horizontal="center" vertical="center"/>
      <protection/>
    </xf>
    <xf numFmtId="188" fontId="16" fillId="0" borderId="38" xfId="0" applyNumberFormat="1" applyFont="1" applyBorder="1" applyAlignment="1">
      <alignment horizontal="right" vertical="center"/>
    </xf>
    <xf numFmtId="188" fontId="16" fillId="0" borderId="56" xfId="0" applyNumberFormat="1" applyFont="1" applyBorder="1" applyAlignment="1">
      <alignment horizontal="right" vertical="center"/>
    </xf>
    <xf numFmtId="0" fontId="15" fillId="0" borderId="34" xfId="0" applyFont="1" applyBorder="1" applyAlignment="1" applyProtection="1">
      <alignment horizontal="center" vertical="center"/>
      <protection/>
    </xf>
    <xf numFmtId="2" fontId="15" fillId="0" borderId="11" xfId="0" applyNumberFormat="1" applyFont="1" applyBorder="1" applyAlignment="1" applyProtection="1" quotePrefix="1">
      <alignment horizontal="right" vertical="center"/>
      <protection/>
    </xf>
    <xf numFmtId="2" fontId="15" fillId="0" borderId="11" xfId="0" applyNumberFormat="1" applyFont="1" applyBorder="1" applyAlignment="1" applyProtection="1">
      <alignment vertical="center"/>
      <protection/>
    </xf>
    <xf numFmtId="2" fontId="15" fillId="0" borderId="10" xfId="0" applyNumberFormat="1" applyFont="1" applyBorder="1" applyAlignment="1" applyProtection="1">
      <alignment vertical="center"/>
      <protection/>
    </xf>
    <xf numFmtId="0" fontId="16" fillId="0" borderId="56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right" vertical="center"/>
      <protection/>
    </xf>
    <xf numFmtId="188" fontId="15" fillId="0" borderId="12" xfId="0" applyNumberFormat="1" applyFont="1" applyBorder="1" applyAlignment="1" applyProtection="1">
      <alignment horizontal="center" vertical="center"/>
      <protection/>
    </xf>
    <xf numFmtId="188" fontId="16" fillId="0" borderId="12" xfId="0" applyNumberFormat="1" applyFont="1" applyBorder="1" applyAlignment="1">
      <alignment horizontal="right" vertical="center"/>
    </xf>
    <xf numFmtId="0" fontId="16" fillId="0" borderId="71" xfId="0" applyFont="1" applyBorder="1" applyAlignment="1">
      <alignment horizontal="center" vertical="center"/>
    </xf>
    <xf numFmtId="0" fontId="15" fillId="0" borderId="41" xfId="0" applyFont="1" applyBorder="1" applyAlignment="1" applyProtection="1">
      <alignment horizontal="center" vertical="center"/>
      <protection/>
    </xf>
    <xf numFmtId="186" fontId="17" fillId="0" borderId="0" xfId="0" applyNumberFormat="1" applyFont="1" applyBorder="1" applyAlignment="1" applyProtection="1">
      <alignment horizontal="right" vertical="center"/>
      <protection/>
    </xf>
    <xf numFmtId="38" fontId="5" fillId="0" borderId="10" xfId="49" applyFont="1" applyBorder="1" applyAlignment="1" applyProtection="1">
      <alignment horizontal="left" vertical="center"/>
      <protection locked="0"/>
    </xf>
    <xf numFmtId="38" fontId="9" fillId="0" borderId="14" xfId="49" applyFont="1" applyBorder="1" applyAlignment="1" applyProtection="1">
      <alignment horizontal="left" vertical="center"/>
      <protection/>
    </xf>
    <xf numFmtId="178" fontId="5" fillId="0" borderId="10" xfId="0" applyNumberFormat="1" applyFont="1" applyBorder="1" applyAlignment="1" applyProtection="1">
      <alignment horizontal="right" vertical="center"/>
      <protection/>
    </xf>
    <xf numFmtId="178" fontId="5" fillId="0" borderId="49" xfId="0" applyNumberFormat="1" applyFont="1" applyBorder="1" applyAlignment="1" applyProtection="1">
      <alignment horizontal="right" vertical="center"/>
      <protection/>
    </xf>
    <xf numFmtId="179" fontId="9" fillId="0" borderId="12" xfId="0" applyNumberFormat="1" applyFont="1" applyBorder="1" applyAlignment="1" applyProtection="1">
      <alignment horizontal="center" vertical="center"/>
      <protection/>
    </xf>
    <xf numFmtId="179" fontId="5" fillId="0" borderId="10" xfId="0" applyNumberFormat="1" applyFont="1" applyBorder="1" applyAlignment="1" applyProtection="1" quotePrefix="1">
      <alignment horizontal="center" vertical="center"/>
      <protection/>
    </xf>
    <xf numFmtId="0" fontId="1" fillId="0" borderId="0" xfId="0" applyFont="1" applyAlignment="1">
      <alignment vertical="center"/>
    </xf>
    <xf numFmtId="179" fontId="9" fillId="0" borderId="12" xfId="0" applyNumberFormat="1" applyFont="1" applyBorder="1" applyAlignment="1" applyProtection="1">
      <alignment horizontal="center" vertical="center"/>
      <protection locked="0"/>
    </xf>
    <xf numFmtId="179" fontId="9" fillId="0" borderId="12" xfId="0" applyNumberFormat="1" applyFont="1" applyBorder="1" applyAlignment="1" applyProtection="1">
      <alignment horizontal="right" vertical="center"/>
      <protection/>
    </xf>
    <xf numFmtId="179" fontId="9" fillId="0" borderId="12" xfId="0" applyNumberFormat="1" applyFont="1" applyBorder="1" applyAlignment="1" applyProtection="1">
      <alignment horizontal="right" vertical="center"/>
      <protection locked="0"/>
    </xf>
    <xf numFmtId="180" fontId="5" fillId="0" borderId="12" xfId="0" applyNumberFormat="1" applyFont="1" applyBorder="1" applyAlignment="1" applyProtection="1">
      <alignment horizontal="right" vertical="center"/>
      <protection/>
    </xf>
    <xf numFmtId="179" fontId="5" fillId="0" borderId="12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Alignment="1">
      <alignment vertical="center"/>
    </xf>
    <xf numFmtId="179" fontId="5" fillId="0" borderId="13" xfId="0" applyNumberFormat="1" applyFont="1" applyBorder="1" applyAlignment="1" applyProtection="1" quotePrefix="1">
      <alignment horizontal="center" vertical="center"/>
      <protection/>
    </xf>
    <xf numFmtId="179" fontId="5" fillId="0" borderId="16" xfId="0" applyNumberFormat="1" applyFont="1" applyBorder="1" applyAlignment="1" applyProtection="1" quotePrefix="1">
      <alignment horizontal="center" vertical="center"/>
      <protection/>
    </xf>
    <xf numFmtId="179" fontId="5" fillId="0" borderId="72" xfId="0" applyNumberFormat="1" applyFont="1" applyBorder="1" applyAlignment="1" applyProtection="1" quotePrefix="1">
      <alignment horizontal="center" vertical="center"/>
      <protection/>
    </xf>
    <xf numFmtId="179" fontId="5" fillId="0" borderId="73" xfId="0" applyNumberFormat="1" applyFont="1" applyBorder="1" applyAlignment="1" applyProtection="1">
      <alignment horizontal="center" vertical="center"/>
      <protection locked="0"/>
    </xf>
    <xf numFmtId="179" fontId="5" fillId="0" borderId="16" xfId="0" applyNumberFormat="1" applyFont="1" applyBorder="1" applyAlignment="1" applyProtection="1">
      <alignment horizontal="center" vertical="center"/>
      <protection locked="0"/>
    </xf>
    <xf numFmtId="179" fontId="5" fillId="0" borderId="74" xfId="0" applyNumberFormat="1" applyFont="1" applyBorder="1" applyAlignment="1" applyProtection="1">
      <alignment horizontal="center" vertical="center"/>
      <protection/>
    </xf>
    <xf numFmtId="180" fontId="5" fillId="0" borderId="75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Border="1" applyAlignment="1" applyProtection="1">
      <alignment vertical="center"/>
      <protection locked="0"/>
    </xf>
    <xf numFmtId="179" fontId="5" fillId="0" borderId="16" xfId="0" applyNumberFormat="1" applyFont="1" applyBorder="1" applyAlignment="1" applyProtection="1">
      <alignment vertical="center"/>
      <protection locked="0"/>
    </xf>
    <xf numFmtId="180" fontId="5" fillId="0" borderId="48" xfId="0" applyNumberFormat="1" applyFont="1" applyBorder="1" applyAlignment="1" applyProtection="1">
      <alignment horizontal="right" vertical="center"/>
      <protection locked="0"/>
    </xf>
    <xf numFmtId="179" fontId="5" fillId="0" borderId="48" xfId="0" applyNumberFormat="1" applyFont="1" applyBorder="1" applyAlignment="1" applyProtection="1">
      <alignment vertical="center"/>
      <protection locked="0"/>
    </xf>
    <xf numFmtId="179" fontId="5" fillId="0" borderId="48" xfId="0" applyNumberFormat="1" applyFont="1" applyBorder="1" applyAlignment="1" applyProtection="1">
      <alignment horizontal="right" vertical="center"/>
      <protection locked="0"/>
    </xf>
    <xf numFmtId="179" fontId="5" fillId="0" borderId="74" xfId="0" applyNumberFormat="1" applyFont="1" applyBorder="1" applyAlignment="1" applyProtection="1">
      <alignment horizontal="center" vertical="center"/>
      <protection locked="0"/>
    </xf>
    <xf numFmtId="180" fontId="5" fillId="0" borderId="48" xfId="0" applyNumberFormat="1" applyFont="1" applyBorder="1" applyAlignment="1" applyProtection="1">
      <alignment vertical="center"/>
      <protection locked="0"/>
    </xf>
    <xf numFmtId="179" fontId="5" fillId="0" borderId="48" xfId="0" applyNumberFormat="1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horizontal="center" vertical="center"/>
      <protection locked="0"/>
    </xf>
    <xf numFmtId="180" fontId="5" fillId="0" borderId="16" xfId="0" applyNumberFormat="1" applyFont="1" applyBorder="1" applyAlignment="1" applyProtection="1">
      <alignment horizontal="center" vertical="center"/>
      <protection locked="0"/>
    </xf>
    <xf numFmtId="180" fontId="5" fillId="0" borderId="76" xfId="0" applyNumberFormat="1" applyFont="1" applyBorder="1" applyAlignment="1" applyProtection="1">
      <alignment horizontal="center" vertical="center"/>
      <protection locked="0"/>
    </xf>
    <xf numFmtId="180" fontId="5" fillId="0" borderId="16" xfId="0" applyNumberFormat="1" applyFont="1" applyBorder="1" applyAlignment="1" applyProtection="1" quotePrefix="1">
      <alignment horizontal="center" vertical="center"/>
      <protection locked="0"/>
    </xf>
    <xf numFmtId="180" fontId="5" fillId="0" borderId="16" xfId="0" applyNumberFormat="1" applyFont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 locked="0"/>
    </xf>
    <xf numFmtId="185" fontId="5" fillId="0" borderId="32" xfId="0" applyNumberFormat="1" applyFont="1" applyBorder="1" applyAlignment="1" applyProtection="1">
      <alignment horizontal="center" vertical="center"/>
      <protection/>
    </xf>
    <xf numFmtId="180" fontId="5" fillId="0" borderId="77" xfId="0" applyNumberFormat="1" applyFont="1" applyBorder="1" applyAlignment="1" applyProtection="1">
      <alignment horizontal="right" vertical="center"/>
      <protection locked="0"/>
    </xf>
    <xf numFmtId="179" fontId="5" fillId="0" borderId="11" xfId="0" applyNumberFormat="1" applyFont="1" applyBorder="1" applyAlignment="1" applyProtection="1">
      <alignment vertical="center"/>
      <protection locked="0"/>
    </xf>
    <xf numFmtId="180" fontId="5" fillId="0" borderId="10" xfId="0" applyNumberFormat="1" applyFont="1" applyBorder="1" applyAlignment="1" applyProtection="1" quotePrefix="1">
      <alignment horizontal="center" vertical="center"/>
      <protection locked="0"/>
    </xf>
    <xf numFmtId="180" fontId="5" fillId="0" borderId="49" xfId="0" applyNumberFormat="1" applyFont="1" applyBorder="1" applyAlignment="1" applyProtection="1">
      <alignment horizontal="right" vertical="center"/>
      <protection locked="0"/>
    </xf>
    <xf numFmtId="179" fontId="5" fillId="0" borderId="49" xfId="0" applyNumberFormat="1" applyFont="1" applyBorder="1" applyAlignment="1" applyProtection="1">
      <alignment vertical="center"/>
      <protection locked="0"/>
    </xf>
    <xf numFmtId="179" fontId="5" fillId="0" borderId="32" xfId="0" applyNumberFormat="1" applyFont="1" applyBorder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 applyProtection="1">
      <alignment horizontal="center" vertical="center"/>
      <protection/>
    </xf>
    <xf numFmtId="180" fontId="5" fillId="0" borderId="49" xfId="0" applyNumberFormat="1" applyFont="1" applyBorder="1" applyAlignment="1" applyProtection="1">
      <alignment vertical="center"/>
      <protection/>
    </xf>
    <xf numFmtId="179" fontId="5" fillId="0" borderId="49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180" fontId="5" fillId="0" borderId="49" xfId="0" applyNumberFormat="1" applyFont="1" applyBorder="1" applyAlignment="1" applyProtection="1">
      <alignment horizontal="center" vertical="center"/>
      <protection/>
    </xf>
    <xf numFmtId="179" fontId="5" fillId="0" borderId="28" xfId="0" applyNumberFormat="1" applyFont="1" applyBorder="1" applyAlignment="1" applyProtection="1">
      <alignment horizontal="center" vertical="center"/>
      <protection locked="0"/>
    </xf>
    <xf numFmtId="185" fontId="5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78" xfId="0" applyNumberFormat="1" applyFont="1" applyBorder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 applyProtection="1">
      <alignment horizontal="center" vertical="center"/>
      <protection locked="0"/>
    </xf>
    <xf numFmtId="179" fontId="5" fillId="0" borderId="79" xfId="0" applyNumberFormat="1" applyFont="1" applyBorder="1" applyAlignment="1" applyProtection="1">
      <alignment vertical="center"/>
      <protection/>
    </xf>
    <xf numFmtId="180" fontId="5" fillId="0" borderId="80" xfId="0" applyNumberFormat="1" applyFont="1" applyBorder="1" applyAlignment="1" applyProtection="1">
      <alignment horizontal="center" vertical="center"/>
      <protection locked="0"/>
    </xf>
    <xf numFmtId="185" fontId="5" fillId="0" borderId="32" xfId="0" applyNumberFormat="1" applyFont="1" applyBorder="1" applyAlignment="1" applyProtection="1" quotePrefix="1">
      <alignment horizontal="center" vertical="center"/>
      <protection/>
    </xf>
    <xf numFmtId="179" fontId="5" fillId="0" borderId="11" xfId="0" applyNumberFormat="1" applyFont="1" applyBorder="1" applyAlignment="1" applyProtection="1">
      <alignment horizontal="right" vertical="center"/>
      <protection/>
    </xf>
    <xf numFmtId="180" fontId="5" fillId="0" borderId="77" xfId="0" applyNumberFormat="1" applyFont="1" applyBorder="1" applyAlignment="1" applyProtection="1">
      <alignment vertical="center"/>
      <protection/>
    </xf>
    <xf numFmtId="179" fontId="5" fillId="0" borderId="11" xfId="0" applyNumberFormat="1" applyFont="1" applyBorder="1" applyAlignment="1" applyProtection="1">
      <alignment vertical="center"/>
      <protection/>
    </xf>
    <xf numFmtId="179" fontId="5" fillId="0" borderId="81" xfId="0" applyNumberFormat="1" applyFont="1" applyBorder="1" applyAlignment="1" applyProtection="1">
      <alignment vertical="center"/>
      <protection locked="0"/>
    </xf>
    <xf numFmtId="179" fontId="5" fillId="0" borderId="82" xfId="0" applyNumberFormat="1" applyFont="1" applyBorder="1" applyAlignment="1" applyProtection="1">
      <alignment horizontal="center" vertical="center"/>
      <protection locked="0"/>
    </xf>
    <xf numFmtId="179" fontId="5" fillId="0" borderId="53" xfId="0" applyNumberFormat="1" applyFont="1" applyBorder="1" applyAlignment="1" applyProtection="1">
      <alignment horizontal="center" vertical="center"/>
      <protection/>
    </xf>
    <xf numFmtId="180" fontId="5" fillId="0" borderId="75" xfId="0" applyNumberFormat="1" applyFont="1" applyBorder="1" applyAlignment="1" applyProtection="1">
      <alignment vertical="center"/>
      <protection locked="0"/>
    </xf>
    <xf numFmtId="179" fontId="5" fillId="0" borderId="63" xfId="0" applyNumberFormat="1" applyFont="1" applyBorder="1" applyAlignment="1" applyProtection="1">
      <alignment vertical="center"/>
      <protection/>
    </xf>
    <xf numFmtId="179" fontId="5" fillId="0" borderId="83" xfId="0" applyNumberFormat="1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185" fontId="5" fillId="0" borderId="74" xfId="0" applyNumberFormat="1" applyFont="1" applyBorder="1" applyAlignment="1" applyProtection="1" quotePrefix="1">
      <alignment horizontal="center"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80" fontId="5" fillId="0" borderId="79" xfId="0" applyNumberFormat="1" applyFont="1" applyBorder="1" applyAlignment="1" applyProtection="1">
      <alignment horizontal="center" vertical="center"/>
      <protection locked="0"/>
    </xf>
    <xf numFmtId="180" fontId="5" fillId="0" borderId="84" xfId="0" applyNumberFormat="1" applyFont="1" applyBorder="1" applyAlignment="1" applyProtection="1">
      <alignment horizontal="center" vertical="center"/>
      <protection locked="0"/>
    </xf>
    <xf numFmtId="185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53" xfId="0" applyNumberFormat="1" applyFont="1" applyBorder="1" applyAlignment="1" applyProtection="1">
      <alignment horizontal="center" vertical="center"/>
      <protection locked="0"/>
    </xf>
    <xf numFmtId="179" fontId="5" fillId="0" borderId="85" xfId="0" applyNumberFormat="1" applyFont="1" applyBorder="1" applyAlignment="1" applyProtection="1">
      <alignment horizontal="center" vertical="center"/>
      <protection/>
    </xf>
    <xf numFmtId="180" fontId="5" fillId="0" borderId="81" xfId="0" applyNumberFormat="1" applyFont="1" applyBorder="1" applyAlignment="1" applyProtection="1">
      <alignment horizontal="right" vertical="center"/>
      <protection locked="0"/>
    </xf>
    <xf numFmtId="179" fontId="5" fillId="0" borderId="68" xfId="0" applyNumberFormat="1" applyFont="1" applyBorder="1" applyAlignment="1" applyProtection="1">
      <alignment vertical="center"/>
      <protection locked="0"/>
    </xf>
    <xf numFmtId="179" fontId="5" fillId="0" borderId="53" xfId="0" applyNumberFormat="1" applyFont="1" applyBorder="1" applyAlignment="1" applyProtection="1">
      <alignment vertical="center"/>
      <protection locked="0"/>
    </xf>
    <xf numFmtId="180" fontId="5" fillId="0" borderId="52" xfId="0" applyNumberFormat="1" applyFont="1" applyBorder="1" applyAlignment="1" applyProtection="1">
      <alignment horizontal="right" vertical="center"/>
      <protection locked="0"/>
    </xf>
    <xf numFmtId="179" fontId="5" fillId="0" borderId="52" xfId="0" applyNumberFormat="1" applyFont="1" applyBorder="1" applyAlignment="1" applyProtection="1">
      <alignment vertical="center"/>
      <protection locked="0"/>
    </xf>
    <xf numFmtId="179" fontId="5" fillId="0" borderId="52" xfId="0" applyNumberFormat="1" applyFont="1" applyBorder="1" applyAlignment="1" applyProtection="1">
      <alignment horizontal="right" vertical="center"/>
      <protection locked="0"/>
    </xf>
    <xf numFmtId="179" fontId="5" fillId="0" borderId="85" xfId="0" applyNumberFormat="1" applyFont="1" applyBorder="1" applyAlignment="1" applyProtection="1">
      <alignment horizontal="center" vertical="center"/>
      <protection locked="0"/>
    </xf>
    <xf numFmtId="180" fontId="5" fillId="0" borderId="52" xfId="0" applyNumberFormat="1" applyFont="1" applyBorder="1" applyAlignment="1" applyProtection="1">
      <alignment vertical="center"/>
      <protection locked="0"/>
    </xf>
    <xf numFmtId="179" fontId="5" fillId="0" borderId="52" xfId="0" applyNumberFormat="1" applyFont="1" applyBorder="1" applyAlignment="1" applyProtection="1">
      <alignment vertical="center"/>
      <protection/>
    </xf>
    <xf numFmtId="180" fontId="5" fillId="0" borderId="52" xfId="0" applyNumberFormat="1" applyFont="1" applyBorder="1" applyAlignment="1" applyProtection="1">
      <alignment vertical="center"/>
      <protection/>
    </xf>
    <xf numFmtId="180" fontId="5" fillId="0" borderId="86" xfId="0" applyNumberFormat="1" applyFont="1" applyBorder="1" applyAlignment="1" applyProtection="1">
      <alignment horizontal="center" vertical="center"/>
      <protection locked="0"/>
    </xf>
    <xf numFmtId="185" fontId="5" fillId="0" borderId="87" xfId="0" applyNumberFormat="1" applyFont="1" applyBorder="1" applyAlignment="1" applyProtection="1" quotePrefix="1">
      <alignment horizontal="center" vertical="center"/>
      <protection/>
    </xf>
    <xf numFmtId="180" fontId="5" fillId="0" borderId="88" xfId="0" applyNumberFormat="1" applyFont="1" applyBorder="1" applyAlignment="1" applyProtection="1">
      <alignment horizontal="right" vertical="center"/>
      <protection locked="0"/>
    </xf>
    <xf numFmtId="179" fontId="5" fillId="0" borderId="89" xfId="0" applyNumberFormat="1" applyFont="1" applyBorder="1" applyAlignment="1" applyProtection="1">
      <alignment vertical="center"/>
      <protection locked="0"/>
    </xf>
    <xf numFmtId="180" fontId="5" fillId="0" borderId="54" xfId="0" applyNumberFormat="1" applyFont="1" applyBorder="1" applyAlignment="1" applyProtection="1">
      <alignment horizontal="right" vertical="center"/>
      <protection locked="0"/>
    </xf>
    <xf numFmtId="179" fontId="5" fillId="0" borderId="54" xfId="0" applyNumberFormat="1" applyFont="1" applyBorder="1" applyAlignment="1" applyProtection="1">
      <alignment vertical="center"/>
      <protection locked="0"/>
    </xf>
    <xf numFmtId="179" fontId="5" fillId="0" borderId="87" xfId="0" applyNumberFormat="1" applyFont="1" applyBorder="1" applyAlignment="1" applyProtection="1">
      <alignment horizontal="center" vertical="center"/>
      <protection locked="0"/>
    </xf>
    <xf numFmtId="180" fontId="5" fillId="0" borderId="54" xfId="0" applyNumberFormat="1" applyFont="1" applyBorder="1" applyAlignment="1" applyProtection="1">
      <alignment vertical="center"/>
      <protection/>
    </xf>
    <xf numFmtId="179" fontId="5" fillId="0" borderId="54" xfId="0" applyNumberFormat="1" applyFont="1" applyBorder="1" applyAlignment="1" applyProtection="1">
      <alignment vertical="center"/>
      <protection/>
    </xf>
    <xf numFmtId="180" fontId="5" fillId="0" borderId="86" xfId="0" applyNumberFormat="1" applyFont="1" applyBorder="1" applyAlignment="1" applyProtection="1">
      <alignment horizontal="center" vertical="center"/>
      <protection/>
    </xf>
    <xf numFmtId="179" fontId="5" fillId="0" borderId="90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180" fontId="5" fillId="0" borderId="11" xfId="0" applyNumberFormat="1" applyFont="1" applyBorder="1" applyAlignment="1" applyProtection="1">
      <alignment horizontal="center" vertical="center"/>
      <protection/>
    </xf>
    <xf numFmtId="179" fontId="5" fillId="0" borderId="67" xfId="0" applyNumberFormat="1" applyFont="1" applyBorder="1" applyAlignment="1" applyProtection="1">
      <alignment vertical="center"/>
      <protection locked="0"/>
    </xf>
    <xf numFmtId="179" fontId="5" fillId="0" borderId="16" xfId="0" applyNumberFormat="1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 locked="0"/>
    </xf>
    <xf numFmtId="180" fontId="5" fillId="0" borderId="49" xfId="0" applyNumberFormat="1" applyFont="1" applyBorder="1" applyAlignment="1" applyProtection="1">
      <alignment horizontal="right" vertical="center"/>
      <protection/>
    </xf>
    <xf numFmtId="179" fontId="5" fillId="0" borderId="74" xfId="0" applyNumberFormat="1" applyFont="1" applyBorder="1" applyAlignment="1" applyProtection="1">
      <alignment vertical="center"/>
      <protection/>
    </xf>
    <xf numFmtId="179" fontId="5" fillId="0" borderId="13" xfId="0" applyNumberFormat="1" applyFont="1" applyBorder="1" applyAlignment="1" applyProtection="1">
      <alignment horizontal="center" vertical="center"/>
      <protection/>
    </xf>
    <xf numFmtId="179" fontId="5" fillId="0" borderId="72" xfId="0" applyNumberFormat="1" applyFont="1" applyBorder="1" applyAlignment="1" applyProtection="1">
      <alignment vertical="center"/>
      <protection/>
    </xf>
    <xf numFmtId="0" fontId="5" fillId="0" borderId="45" xfId="0" applyFont="1" applyBorder="1" applyAlignment="1" applyProtection="1" quotePrefix="1">
      <alignment horizontal="right" vertical="center"/>
      <protection/>
    </xf>
    <xf numFmtId="0" fontId="5" fillId="0" borderId="46" xfId="0" applyFont="1" applyBorder="1" applyAlignment="1" applyProtection="1" quotePrefix="1">
      <alignment horizontal="right" vertical="center"/>
      <protection/>
    </xf>
    <xf numFmtId="176" fontId="5" fillId="0" borderId="47" xfId="0" applyNumberFormat="1" applyFont="1" applyBorder="1" applyAlignment="1" applyProtection="1">
      <alignment vertical="center"/>
      <protection/>
    </xf>
    <xf numFmtId="180" fontId="5" fillId="0" borderId="46" xfId="0" applyNumberFormat="1" applyFont="1" applyBorder="1" applyAlignment="1" applyProtection="1">
      <alignment vertical="center"/>
      <protection/>
    </xf>
    <xf numFmtId="179" fontId="5" fillId="0" borderId="46" xfId="0" applyNumberFormat="1" applyFont="1" applyBorder="1" applyAlignment="1" applyProtection="1" quotePrefix="1">
      <alignment horizontal="right"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179" fontId="5" fillId="0" borderId="46" xfId="0" applyNumberFormat="1" applyFont="1" applyBorder="1" applyAlignment="1" applyProtection="1">
      <alignment horizontal="right" vertical="center"/>
      <protection/>
    </xf>
    <xf numFmtId="179" fontId="5" fillId="0" borderId="73" xfId="0" applyNumberFormat="1" applyFont="1" applyBorder="1" applyAlignment="1" applyProtection="1">
      <alignment horizontal="center" vertical="center"/>
      <protection/>
    </xf>
    <xf numFmtId="179" fontId="5" fillId="0" borderId="49" xfId="0" applyNumberFormat="1" applyFont="1" applyBorder="1" applyAlignment="1" applyProtection="1" quotePrefix="1">
      <alignment horizontal="center" vertical="center"/>
      <protection/>
    </xf>
    <xf numFmtId="179" fontId="5" fillId="0" borderId="32" xfId="0" applyNumberFormat="1" applyFont="1" applyBorder="1" applyAlignment="1" applyProtection="1">
      <alignment horizontal="center" vertical="center"/>
      <protection/>
    </xf>
    <xf numFmtId="180" fontId="5" fillId="0" borderId="49" xfId="0" applyNumberFormat="1" applyFont="1" applyBorder="1" applyAlignment="1" applyProtection="1">
      <alignment horizontal="center" vertical="center" shrinkToFit="1"/>
      <protection/>
    </xf>
    <xf numFmtId="179" fontId="5" fillId="0" borderId="19" xfId="0" applyNumberFormat="1" applyFont="1" applyBorder="1" applyAlignment="1" applyProtection="1">
      <alignment horizontal="left" vertical="center"/>
      <protection locked="0"/>
    </xf>
    <xf numFmtId="179" fontId="5" fillId="0" borderId="20" xfId="0" applyNumberFormat="1" applyFont="1" applyBorder="1" applyAlignment="1" applyProtection="1" quotePrefix="1">
      <alignment horizontal="center" vertical="center"/>
      <protection/>
    </xf>
    <xf numFmtId="179" fontId="5" fillId="0" borderId="21" xfId="0" applyNumberFormat="1" applyFont="1" applyBorder="1" applyAlignment="1" applyProtection="1">
      <alignment horizontal="center" vertical="center"/>
      <protection/>
    </xf>
    <xf numFmtId="176" fontId="5" fillId="0" borderId="21" xfId="0" applyNumberFormat="1" applyFont="1" applyBorder="1" applyAlignment="1" applyProtection="1">
      <alignment horizontal="center" vertical="center"/>
      <protection/>
    </xf>
    <xf numFmtId="179" fontId="5" fillId="0" borderId="25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79" fontId="5" fillId="0" borderId="80" xfId="0" applyNumberFormat="1" applyFont="1" applyBorder="1" applyAlignment="1" applyProtection="1">
      <alignment horizontal="center" vertical="center"/>
      <protection locked="0"/>
    </xf>
    <xf numFmtId="179" fontId="5" fillId="0" borderId="0" xfId="0" applyNumberFormat="1" applyFont="1" applyBorder="1" applyAlignment="1" applyProtection="1">
      <alignment horizontal="center" vertical="center"/>
      <protection/>
    </xf>
    <xf numFmtId="38" fontId="5" fillId="0" borderId="10" xfId="49" applyFont="1" applyBorder="1" applyAlignment="1" applyProtection="1" quotePrefix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86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right" vertical="center"/>
      <protection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178" fontId="5" fillId="0" borderId="53" xfId="0" applyNumberFormat="1" applyFont="1" applyBorder="1" applyAlignment="1" applyProtection="1">
      <alignment horizontal="right" vertical="center"/>
      <protection locked="0"/>
    </xf>
    <xf numFmtId="178" fontId="5" fillId="0" borderId="86" xfId="0" applyNumberFormat="1" applyFont="1" applyBorder="1" applyAlignment="1" applyProtection="1">
      <alignment horizontal="right" vertical="center"/>
      <protection locked="0"/>
    </xf>
    <xf numFmtId="178" fontId="5" fillId="0" borderId="16" xfId="0" applyNumberFormat="1" applyFont="1" applyBorder="1" applyAlignment="1" applyProtection="1">
      <alignment horizontal="right" vertical="center"/>
      <protection/>
    </xf>
    <xf numFmtId="178" fontId="5" fillId="0" borderId="48" xfId="0" applyNumberFormat="1" applyFont="1" applyBorder="1" applyAlignment="1" applyProtection="1">
      <alignment horizontal="right" vertical="center"/>
      <protection/>
    </xf>
    <xf numFmtId="178" fontId="5" fillId="0" borderId="75" xfId="0" applyNumberFormat="1" applyFont="1" applyBorder="1" applyAlignment="1" applyProtection="1">
      <alignment horizontal="right" vertical="center"/>
      <protection/>
    </xf>
    <xf numFmtId="178" fontId="5" fillId="0" borderId="77" xfId="0" applyNumberFormat="1" applyFont="1" applyBorder="1" applyAlignment="1" applyProtection="1">
      <alignment horizontal="right" vertical="center"/>
      <protection/>
    </xf>
    <xf numFmtId="178" fontId="5" fillId="0" borderId="91" xfId="0" applyNumberFormat="1" applyFont="1" applyBorder="1" applyAlignment="1" applyProtection="1">
      <alignment horizontal="right" vertical="center"/>
      <protection/>
    </xf>
    <xf numFmtId="178" fontId="5" fillId="0" borderId="53" xfId="0" applyNumberFormat="1" applyFont="1" applyBorder="1" applyAlignment="1" applyProtection="1">
      <alignment horizontal="right" vertical="center"/>
      <protection/>
    </xf>
    <xf numFmtId="178" fontId="5" fillId="0" borderId="81" xfId="0" applyNumberFormat="1" applyFont="1" applyBorder="1" applyAlignment="1" applyProtection="1">
      <alignment horizontal="right" vertical="center"/>
      <protection/>
    </xf>
    <xf numFmtId="178" fontId="5" fillId="0" borderId="52" xfId="0" applyNumberFormat="1" applyFont="1" applyBorder="1" applyAlignment="1" applyProtection="1">
      <alignment horizontal="right" vertical="center"/>
      <protection/>
    </xf>
    <xf numFmtId="178" fontId="5" fillId="0" borderId="86" xfId="0" applyNumberFormat="1" applyFont="1" applyBorder="1" applyAlignment="1" applyProtection="1">
      <alignment horizontal="right" vertical="center"/>
      <protection/>
    </xf>
    <xf numFmtId="178" fontId="5" fillId="0" borderId="88" xfId="0" applyNumberFormat="1" applyFont="1" applyBorder="1" applyAlignment="1" applyProtection="1">
      <alignment horizontal="right" vertical="center"/>
      <protection/>
    </xf>
    <xf numFmtId="178" fontId="5" fillId="0" borderId="54" xfId="0" applyNumberFormat="1" applyFont="1" applyBorder="1" applyAlignment="1" applyProtection="1">
      <alignment horizontal="right" vertical="center"/>
      <protection/>
    </xf>
    <xf numFmtId="185" fontId="5" fillId="0" borderId="85" xfId="0" applyNumberFormat="1" applyFont="1" applyBorder="1" applyAlignment="1" applyProtection="1" quotePrefix="1">
      <alignment horizontal="center" vertical="center"/>
      <protection/>
    </xf>
    <xf numFmtId="180" fontId="5" fillId="0" borderId="53" xfId="0" applyNumberFormat="1" applyFont="1" applyBorder="1" applyAlignment="1" applyProtection="1" quotePrefix="1">
      <alignment horizontal="center" vertical="center"/>
      <protection locked="0"/>
    </xf>
    <xf numFmtId="180" fontId="5" fillId="0" borderId="81" xfId="0" applyNumberFormat="1" applyFont="1" applyBorder="1" applyAlignment="1" applyProtection="1">
      <alignment vertical="center"/>
      <protection/>
    </xf>
    <xf numFmtId="179" fontId="5" fillId="0" borderId="68" xfId="0" applyNumberFormat="1" applyFont="1" applyBorder="1" applyAlignment="1" applyProtection="1">
      <alignment vertical="center"/>
      <protection/>
    </xf>
    <xf numFmtId="180" fontId="5" fillId="0" borderId="53" xfId="0" applyNumberFormat="1" applyFont="1" applyBorder="1" applyAlignment="1" applyProtection="1">
      <alignment horizontal="center" vertical="center"/>
      <protection/>
    </xf>
    <xf numFmtId="180" fontId="5" fillId="0" borderId="77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Alignment="1" applyProtection="1">
      <alignment vertical="center"/>
      <protection/>
    </xf>
    <xf numFmtId="179" fontId="5" fillId="0" borderId="0" xfId="0" applyNumberFormat="1" applyFont="1" applyAlignment="1">
      <alignment vertical="center"/>
    </xf>
    <xf numFmtId="179" fontId="5" fillId="0" borderId="84" xfId="0" applyNumberFormat="1" applyFont="1" applyBorder="1" applyAlignment="1" applyProtection="1">
      <alignment horizontal="center" vertical="center"/>
      <protection locked="0"/>
    </xf>
    <xf numFmtId="179" fontId="5" fillId="0" borderId="68" xfId="0" applyNumberFormat="1" applyFont="1" applyBorder="1" applyAlignment="1" applyProtection="1">
      <alignment horizontal="center" vertical="center"/>
      <protection locked="0"/>
    </xf>
    <xf numFmtId="185" fontId="5" fillId="0" borderId="49" xfId="0" applyNumberFormat="1" applyFont="1" applyBorder="1" applyAlignment="1" applyProtection="1">
      <alignment horizontal="right" vertical="center"/>
      <protection/>
    </xf>
    <xf numFmtId="185" fontId="5" fillId="0" borderId="48" xfId="0" applyNumberFormat="1" applyFont="1" applyBorder="1" applyAlignment="1" applyProtection="1">
      <alignment horizontal="right" vertical="center"/>
      <protection/>
    </xf>
    <xf numFmtId="185" fontId="5" fillId="0" borderId="92" xfId="0" applyNumberFormat="1" applyFont="1" applyBorder="1" applyAlignment="1" applyProtection="1">
      <alignment horizontal="right" vertical="center"/>
      <protection/>
    </xf>
    <xf numFmtId="185" fontId="5" fillId="0" borderId="52" xfId="0" applyNumberFormat="1" applyFont="1" applyBorder="1" applyAlignment="1" applyProtection="1">
      <alignment horizontal="right" vertical="center"/>
      <protection/>
    </xf>
    <xf numFmtId="185" fontId="5" fillId="0" borderId="49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/>
    </xf>
    <xf numFmtId="180" fontId="5" fillId="0" borderId="32" xfId="0" applyNumberFormat="1" applyFont="1" applyBorder="1" applyAlignment="1" applyProtection="1">
      <alignment horizontal="center" vertical="center"/>
      <protection/>
    </xf>
    <xf numFmtId="180" fontId="5" fillId="0" borderId="49" xfId="0" applyNumberFormat="1" applyFont="1" applyBorder="1" applyAlignment="1" applyProtection="1">
      <alignment horizontal="right" vertical="center" shrinkToFit="1"/>
      <protection locked="0"/>
    </xf>
    <xf numFmtId="180" fontId="9" fillId="0" borderId="10" xfId="0" applyNumberFormat="1" applyFont="1" applyBorder="1" applyAlignment="1" applyProtection="1">
      <alignment horizontal="right" vertical="center" shrinkToFit="1"/>
      <protection/>
    </xf>
    <xf numFmtId="180" fontId="5" fillId="0" borderId="54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 quotePrefix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49" fontId="19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horizontal="left" vertical="center" indent="2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 quotePrefix="1">
      <alignment horizontal="left" vertical="center"/>
      <protection locked="0"/>
    </xf>
    <xf numFmtId="180" fontId="9" fillId="0" borderId="12" xfId="0" applyNumberFormat="1" applyFont="1" applyFill="1" applyBorder="1" applyAlignment="1" applyProtection="1">
      <alignment horizontal="right" vertical="center"/>
      <protection/>
    </xf>
    <xf numFmtId="179" fontId="9" fillId="0" borderId="12" xfId="0" applyNumberFormat="1" applyFont="1" applyFill="1" applyBorder="1" applyAlignment="1" applyProtection="1">
      <alignment horizontal="center" vertical="center"/>
      <protection locked="0"/>
    </xf>
    <xf numFmtId="180" fontId="5" fillId="0" borderId="16" xfId="0" applyNumberFormat="1" applyFont="1" applyFill="1" applyBorder="1" applyAlignment="1" applyProtection="1">
      <alignment vertical="center"/>
      <protection/>
    </xf>
    <xf numFmtId="180" fontId="5" fillId="0" borderId="16" xfId="0" applyNumberFormat="1" applyFont="1" applyFill="1" applyBorder="1" applyAlignment="1" applyProtection="1">
      <alignment horizontal="right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 locked="0"/>
    </xf>
    <xf numFmtId="38" fontId="5" fillId="0" borderId="0" xfId="49" applyFont="1" applyAlignment="1" applyProtection="1">
      <alignment vertical="center"/>
      <protection locked="0"/>
    </xf>
    <xf numFmtId="38" fontId="1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9" fillId="0" borderId="12" xfId="49" applyFont="1" applyBorder="1" applyAlignment="1" applyProtection="1">
      <alignment vertical="center"/>
      <protection locked="0"/>
    </xf>
    <xf numFmtId="38" fontId="9" fillId="0" borderId="0" xfId="49" applyFont="1" applyAlignment="1" applyProtection="1">
      <alignment vertical="center"/>
      <protection locked="0"/>
    </xf>
    <xf numFmtId="38" fontId="5" fillId="0" borderId="43" xfId="49" applyFont="1" applyBorder="1" applyAlignment="1" applyProtection="1">
      <alignment vertical="center"/>
      <protection locked="0"/>
    </xf>
    <xf numFmtId="38" fontId="5" fillId="0" borderId="11" xfId="49" applyFont="1" applyBorder="1" applyAlignment="1" applyProtection="1">
      <alignment vertical="center"/>
      <protection locked="0"/>
    </xf>
    <xf numFmtId="38" fontId="1" fillId="0" borderId="0" xfId="49" applyFont="1" applyAlignment="1">
      <alignment horizontal="center" vertical="center"/>
    </xf>
    <xf numFmtId="38" fontId="9" fillId="0" borderId="0" xfId="49" applyFont="1" applyAlignment="1" quotePrefix="1">
      <alignment vertical="center"/>
    </xf>
    <xf numFmtId="40" fontId="5" fillId="0" borderId="10" xfId="49" applyNumberFormat="1" applyFont="1" applyBorder="1" applyAlignment="1" applyProtection="1">
      <alignment vertical="center"/>
      <protection locked="0"/>
    </xf>
    <xf numFmtId="40" fontId="5" fillId="0" borderId="43" xfId="49" applyNumberFormat="1" applyFont="1" applyBorder="1" applyAlignment="1" applyProtection="1">
      <alignment vertical="center"/>
      <protection/>
    </xf>
    <xf numFmtId="40" fontId="9" fillId="0" borderId="10" xfId="49" applyNumberFormat="1" applyFont="1" applyBorder="1" applyAlignment="1" applyProtection="1">
      <alignment vertical="center"/>
      <protection locked="0"/>
    </xf>
    <xf numFmtId="38" fontId="9" fillId="0" borderId="10" xfId="49" applyFont="1" applyBorder="1" applyAlignment="1" applyProtection="1">
      <alignment vertical="center"/>
      <protection locked="0"/>
    </xf>
    <xf numFmtId="49" fontId="1" fillId="0" borderId="0" xfId="49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 applyProtection="1" quotePrefix="1">
      <alignment horizontal="center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0" fontId="5" fillId="0" borderId="93" xfId="0" applyFont="1" applyFill="1" applyBorder="1" applyAlignment="1" applyProtection="1">
      <alignment horizontal="centerContinuous" vertical="center"/>
      <protection/>
    </xf>
    <xf numFmtId="0" fontId="5" fillId="0" borderId="94" xfId="0" applyFont="1" applyFill="1" applyBorder="1" applyAlignment="1" applyProtection="1">
      <alignment horizontal="centerContinuous" vertical="center"/>
      <protection/>
    </xf>
    <xf numFmtId="0" fontId="5" fillId="0" borderId="95" xfId="0" applyFont="1" applyFill="1" applyBorder="1" applyAlignment="1" applyProtection="1">
      <alignment horizontal="centerContinuous" vertical="center"/>
      <protection/>
    </xf>
    <xf numFmtId="0" fontId="5" fillId="0" borderId="96" xfId="0" applyFont="1" applyFill="1" applyBorder="1" applyAlignment="1" applyProtection="1">
      <alignment vertical="center"/>
      <protection/>
    </xf>
    <xf numFmtId="0" fontId="5" fillId="0" borderId="97" xfId="0" applyFont="1" applyFill="1" applyBorder="1" applyAlignment="1">
      <alignment vertical="center"/>
    </xf>
    <xf numFmtId="0" fontId="5" fillId="0" borderId="16" xfId="0" applyFont="1" applyFill="1" applyBorder="1" applyAlignment="1" applyProtection="1" quotePrefix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 quotePrefix="1">
      <alignment horizontal="center" vertical="center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0" fontId="5" fillId="0" borderId="92" xfId="0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vertical="center"/>
      <protection/>
    </xf>
    <xf numFmtId="0" fontId="5" fillId="0" borderId="98" xfId="0" applyFont="1" applyFill="1" applyBorder="1" applyAlignment="1">
      <alignment vertical="center"/>
    </xf>
    <xf numFmtId="0" fontId="5" fillId="0" borderId="72" xfId="0" applyFont="1" applyFill="1" applyBorder="1" applyAlignment="1" applyProtection="1" quotePrefix="1">
      <alignment horizontal="center" vertical="center"/>
      <protection/>
    </xf>
    <xf numFmtId="0" fontId="5" fillId="0" borderId="45" xfId="0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 quotePrefix="1">
      <alignment horizontal="center" vertical="center"/>
      <protection/>
    </xf>
    <xf numFmtId="0" fontId="5" fillId="0" borderId="46" xfId="0" applyFont="1" applyFill="1" applyBorder="1" applyAlignment="1" applyProtection="1" quotePrefix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99" xfId="0" applyFont="1" applyFill="1" applyBorder="1" applyAlignment="1" applyProtection="1" quotePrefix="1">
      <alignment horizontal="center" vertical="center"/>
      <protection/>
    </xf>
    <xf numFmtId="0" fontId="5" fillId="0" borderId="100" xfId="0" applyFont="1" applyFill="1" applyBorder="1" applyAlignment="1" applyProtection="1" quotePrefix="1">
      <alignment horizontal="center" vertical="center"/>
      <protection/>
    </xf>
    <xf numFmtId="0" fontId="5" fillId="0" borderId="99" xfId="0" applyFont="1" applyFill="1" applyBorder="1" applyAlignment="1" applyProtection="1">
      <alignment vertical="center"/>
      <protection/>
    </xf>
    <xf numFmtId="0" fontId="5" fillId="0" borderId="101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 quotePrefix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84" xfId="0" applyNumberFormat="1" applyFont="1" applyFill="1" applyBorder="1" applyAlignment="1" applyProtection="1">
      <alignment horizontal="left" vertical="center" shrinkToFit="1"/>
      <protection/>
    </xf>
    <xf numFmtId="197" fontId="5" fillId="0" borderId="102" xfId="0" applyNumberFormat="1" applyFont="1" applyFill="1" applyBorder="1" applyAlignment="1" applyProtection="1" quotePrefix="1">
      <alignment horizontal="right" vertical="center" shrinkToFit="1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48" xfId="0" applyNumberFormat="1" applyFont="1" applyFill="1" applyBorder="1" applyAlignment="1" applyProtection="1">
      <alignment vertical="center"/>
      <protection/>
    </xf>
    <xf numFmtId="180" fontId="5" fillId="0" borderId="75" xfId="0" applyNumberFormat="1" applyFont="1" applyFill="1" applyBorder="1" applyAlignment="1" applyProtection="1">
      <alignment vertical="center"/>
      <protection/>
    </xf>
    <xf numFmtId="179" fontId="5" fillId="0" borderId="103" xfId="0" applyNumberFormat="1" applyFont="1" applyFill="1" applyBorder="1" applyAlignment="1" applyProtection="1">
      <alignment vertical="center"/>
      <protection/>
    </xf>
    <xf numFmtId="0" fontId="5" fillId="0" borderId="72" xfId="0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 applyProtection="1" quotePrefix="1">
      <alignment horizontal="right" vertical="center"/>
      <protection/>
    </xf>
    <xf numFmtId="0" fontId="5" fillId="0" borderId="46" xfId="0" applyFont="1" applyFill="1" applyBorder="1" applyAlignment="1" applyProtection="1" quotePrefix="1">
      <alignment horizontal="right" vertical="center"/>
      <protection/>
    </xf>
    <xf numFmtId="0" fontId="5" fillId="0" borderId="46" xfId="0" applyFont="1" applyFill="1" applyBorder="1" applyAlignment="1" applyProtection="1">
      <alignment horizontal="right" vertical="center"/>
      <protection/>
    </xf>
    <xf numFmtId="0" fontId="5" fillId="0" borderId="104" xfId="0" applyFont="1" applyFill="1" applyBorder="1" applyAlignment="1" applyProtection="1" quotePrefix="1">
      <alignment horizontal="right" vertical="center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0" fontId="5" fillId="0" borderId="101" xfId="0" applyFont="1" applyFill="1" applyBorder="1" applyAlignment="1" applyProtection="1" quotePrefix="1">
      <alignment horizontal="right" vertical="center"/>
      <protection/>
    </xf>
    <xf numFmtId="0" fontId="5" fillId="0" borderId="103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 quotePrefix="1">
      <alignment horizontal="center" vertical="center"/>
      <protection/>
    </xf>
    <xf numFmtId="0" fontId="5" fillId="0" borderId="11" xfId="0" applyFont="1" applyFill="1" applyBorder="1" applyAlignment="1" applyProtection="1" quotePrefix="1">
      <alignment horizontal="center" vertical="center"/>
      <protection/>
    </xf>
    <xf numFmtId="0" fontId="5" fillId="0" borderId="102" xfId="0" applyFont="1" applyFill="1" applyBorder="1" applyAlignment="1" applyProtection="1" quotePrefix="1">
      <alignment horizontal="center" vertical="center"/>
      <protection/>
    </xf>
    <xf numFmtId="0" fontId="5" fillId="0" borderId="20" xfId="0" applyFont="1" applyFill="1" applyBorder="1" applyAlignment="1" applyProtection="1" quotePrefix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 quotePrefix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23" xfId="0" applyFont="1" applyFill="1" applyBorder="1" applyAlignment="1" applyProtection="1">
      <alignment horizontal="centerContinuous" vertical="center"/>
      <protection/>
    </xf>
    <xf numFmtId="0" fontId="5" fillId="0" borderId="41" xfId="0" applyFont="1" applyFill="1" applyBorder="1" applyAlignment="1" applyProtection="1">
      <alignment horizontal="centerContinuous" vertical="center"/>
      <protection/>
    </xf>
    <xf numFmtId="179" fontId="1" fillId="0" borderId="0" xfId="0" applyNumberFormat="1" applyFont="1" applyFill="1" applyAlignment="1" applyProtection="1">
      <alignment vertical="center"/>
      <protection/>
    </xf>
    <xf numFmtId="179" fontId="1" fillId="0" borderId="0" xfId="0" applyNumberFormat="1" applyFont="1" applyFill="1" applyAlignment="1" applyProtection="1">
      <alignment horizontal="center" vertical="center"/>
      <protection/>
    </xf>
    <xf numFmtId="180" fontId="1" fillId="0" borderId="0" xfId="0" applyNumberFormat="1" applyFont="1" applyFill="1" applyAlignment="1" applyProtection="1">
      <alignment vertical="center"/>
      <protection/>
    </xf>
    <xf numFmtId="179" fontId="1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 applyProtection="1">
      <alignment vertical="center"/>
      <protection/>
    </xf>
    <xf numFmtId="179" fontId="9" fillId="0" borderId="0" xfId="0" applyNumberFormat="1" applyFont="1" applyFill="1" applyAlignment="1" applyProtection="1">
      <alignment horizontal="left" vertical="center"/>
      <protection/>
    </xf>
    <xf numFmtId="179" fontId="9" fillId="0" borderId="0" xfId="0" applyNumberFormat="1" applyFont="1" applyFill="1" applyAlignment="1" applyProtection="1">
      <alignment horizontal="center" vertical="center"/>
      <protection/>
    </xf>
    <xf numFmtId="180" fontId="9" fillId="0" borderId="0" xfId="0" applyNumberFormat="1" applyFont="1" applyFill="1" applyAlignment="1" applyProtection="1">
      <alignment vertical="center"/>
      <protection/>
    </xf>
    <xf numFmtId="179" fontId="9" fillId="0" borderId="0" xfId="0" applyNumberFormat="1" applyFont="1" applyFill="1" applyAlignment="1">
      <alignment vertical="center"/>
    </xf>
    <xf numFmtId="179" fontId="5" fillId="0" borderId="12" xfId="0" applyNumberFormat="1" applyFont="1" applyFill="1" applyBorder="1" applyAlignment="1" applyProtection="1">
      <alignment vertical="center"/>
      <protection/>
    </xf>
    <xf numFmtId="179" fontId="9" fillId="0" borderId="12" xfId="0" applyNumberFormat="1" applyFont="1" applyFill="1" applyBorder="1" applyAlignment="1" applyProtection="1">
      <alignment horizontal="center" vertical="center"/>
      <protection/>
    </xf>
    <xf numFmtId="179" fontId="9" fillId="0" borderId="12" xfId="0" applyNumberFormat="1" applyFont="1" applyFill="1" applyBorder="1" applyAlignment="1" applyProtection="1">
      <alignment horizontal="right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79" fontId="5" fillId="0" borderId="13" xfId="0" applyNumberFormat="1" applyFont="1" applyFill="1" applyBorder="1" applyAlignment="1" applyProtection="1" quotePrefix="1">
      <alignment horizontal="center" vertical="center"/>
      <protection/>
    </xf>
    <xf numFmtId="179" fontId="5" fillId="0" borderId="16" xfId="0" applyNumberFormat="1" applyFont="1" applyFill="1" applyBorder="1" applyAlignment="1" applyProtection="1">
      <alignment horizontal="center" vertical="center"/>
      <protection/>
    </xf>
    <xf numFmtId="179" fontId="9" fillId="0" borderId="13" xfId="0" applyNumberFormat="1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 quotePrefix="1">
      <alignment horizontal="center" vertical="center"/>
      <protection/>
    </xf>
    <xf numFmtId="179" fontId="5" fillId="0" borderId="72" xfId="0" applyNumberFormat="1" applyFont="1" applyFill="1" applyBorder="1" applyAlignment="1" applyProtection="1" quotePrefix="1">
      <alignment horizontal="center" vertical="center"/>
      <protection/>
    </xf>
    <xf numFmtId="179" fontId="5" fillId="0" borderId="45" xfId="0" applyNumberFormat="1" applyFont="1" applyFill="1" applyBorder="1" applyAlignment="1" applyProtection="1">
      <alignment horizontal="center" vertical="center"/>
      <protection/>
    </xf>
    <xf numFmtId="176" fontId="5" fillId="0" borderId="45" xfId="0" applyNumberFormat="1" applyFont="1" applyFill="1" applyBorder="1" applyAlignment="1" applyProtection="1">
      <alignment horizontal="center" vertical="center"/>
      <protection/>
    </xf>
    <xf numFmtId="179" fontId="5" fillId="0" borderId="46" xfId="0" applyNumberFormat="1" applyFont="1" applyFill="1" applyBorder="1" applyAlignment="1" applyProtection="1">
      <alignment horizontal="center" vertical="center" shrinkToFit="1"/>
      <protection/>
    </xf>
    <xf numFmtId="179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46" xfId="0" applyNumberFormat="1" applyFont="1" applyFill="1" applyBorder="1" applyAlignment="1" applyProtection="1">
      <alignment horizontal="center" vertical="center" shrinkToFit="1"/>
      <protection/>
    </xf>
    <xf numFmtId="179" fontId="5" fillId="0" borderId="46" xfId="0" applyNumberFormat="1" applyFont="1" applyFill="1" applyBorder="1" applyAlignment="1" applyProtection="1" quotePrefix="1">
      <alignment horizontal="center" vertical="center"/>
      <protection/>
    </xf>
    <xf numFmtId="179" fontId="5" fillId="0" borderId="46" xfId="0" applyNumberFormat="1" applyFont="1" applyFill="1" applyBorder="1" applyAlignment="1" applyProtection="1">
      <alignment horizontal="center" vertical="center"/>
      <protection/>
    </xf>
    <xf numFmtId="180" fontId="5" fillId="0" borderId="105" xfId="0" applyNumberFormat="1" applyFont="1" applyFill="1" applyBorder="1" applyAlignment="1" applyProtection="1">
      <alignment horizontal="center" vertical="center"/>
      <protection/>
    </xf>
    <xf numFmtId="180" fontId="5" fillId="0" borderId="106" xfId="0" applyNumberFormat="1" applyFont="1" applyFill="1" applyBorder="1" applyAlignment="1" applyProtection="1">
      <alignment horizontal="center" vertical="center" shrinkToFit="1"/>
      <protection/>
    </xf>
    <xf numFmtId="180" fontId="5" fillId="0" borderId="46" xfId="0" applyNumberFormat="1" applyFont="1" applyFill="1" applyBorder="1" applyAlignment="1" applyProtection="1" quotePrefix="1">
      <alignment horizontal="center"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79" fontId="5" fillId="0" borderId="13" xfId="0" applyNumberFormat="1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 quotePrefix="1">
      <alignment horizontal="right" vertical="center"/>
      <protection/>
    </xf>
    <xf numFmtId="179" fontId="5" fillId="0" borderId="16" xfId="0" applyNumberFormat="1" applyFont="1" applyFill="1" applyBorder="1" applyAlignment="1" applyProtection="1">
      <alignment horizontal="right" vertical="center"/>
      <protection/>
    </xf>
    <xf numFmtId="179" fontId="5" fillId="0" borderId="48" xfId="0" applyNumberFormat="1" applyFont="1" applyFill="1" applyBorder="1" applyAlignment="1" applyProtection="1" quotePrefix="1">
      <alignment horizontal="right" vertical="center"/>
      <protection/>
    </xf>
    <xf numFmtId="176" fontId="5" fillId="0" borderId="74" xfId="0" applyNumberFormat="1" applyFont="1" applyFill="1" applyBorder="1" applyAlignment="1" applyProtection="1">
      <alignment horizontal="left" vertical="center"/>
      <protection locked="0"/>
    </xf>
    <xf numFmtId="180" fontId="5" fillId="0" borderId="48" xfId="0" applyNumberFormat="1" applyFont="1" applyFill="1" applyBorder="1" applyAlignment="1" applyProtection="1">
      <alignment horizontal="right" vertical="center"/>
      <protection/>
    </xf>
    <xf numFmtId="185" fontId="5" fillId="0" borderId="16" xfId="0" applyNumberFormat="1" applyFont="1" applyFill="1" applyBorder="1" applyAlignment="1" applyProtection="1" quotePrefix="1">
      <alignment horizontal="left" vertical="center"/>
      <protection locked="0"/>
    </xf>
    <xf numFmtId="185" fontId="5" fillId="0" borderId="16" xfId="0" applyNumberFormat="1" applyFont="1" applyFill="1" applyBorder="1" applyAlignment="1" applyProtection="1">
      <alignment horizontal="center" vertical="center"/>
      <protection/>
    </xf>
    <xf numFmtId="180" fontId="5" fillId="0" borderId="107" xfId="0" applyNumberFormat="1" applyFont="1" applyFill="1" applyBorder="1" applyAlignment="1" applyProtection="1" quotePrefix="1">
      <alignment horizontal="right" vertical="center"/>
      <protection/>
    </xf>
    <xf numFmtId="180" fontId="5" fillId="0" borderId="0" xfId="0" applyNumberFormat="1" applyFont="1" applyFill="1" applyBorder="1" applyAlignment="1" applyProtection="1" quotePrefix="1">
      <alignment horizontal="right" vertical="center"/>
      <protection/>
    </xf>
    <xf numFmtId="180" fontId="5" fillId="0" borderId="0" xfId="0" applyNumberFormat="1" applyFont="1" applyFill="1" applyAlignment="1" applyProtection="1">
      <alignment horizontal="right" vertical="center"/>
      <protection/>
    </xf>
    <xf numFmtId="185" fontId="5" fillId="0" borderId="16" xfId="0" applyNumberFormat="1" applyFont="1" applyFill="1" applyBorder="1" applyAlignment="1" applyProtection="1">
      <alignment horizontal="right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180" fontId="5" fillId="0" borderId="48" xfId="0" applyNumberFormat="1" applyFont="1" applyFill="1" applyBorder="1" applyAlignment="1" applyProtection="1" quotePrefix="1">
      <alignment horizontal="right" vertical="center"/>
      <protection/>
    </xf>
    <xf numFmtId="179" fontId="5" fillId="0" borderId="19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Alignment="1">
      <alignment vertical="center"/>
    </xf>
    <xf numFmtId="185" fontId="5" fillId="0" borderId="74" xfId="0" applyNumberFormat="1" applyFont="1" applyFill="1" applyBorder="1" applyAlignment="1" applyProtection="1">
      <alignment horizontal="left" vertical="center" shrinkToFit="1"/>
      <protection locked="0"/>
    </xf>
    <xf numFmtId="179" fontId="5" fillId="0" borderId="13" xfId="0" applyNumberFormat="1" applyFont="1" applyFill="1" applyBorder="1" applyAlignment="1" applyProtection="1">
      <alignment vertical="center"/>
      <protection locked="0"/>
    </xf>
    <xf numFmtId="185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74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85" xfId="0" applyNumberFormat="1" applyFont="1" applyFill="1" applyBorder="1" applyAlignment="1" applyProtection="1">
      <alignment horizontal="left" vertical="center" shrinkToFit="1"/>
      <protection locked="0"/>
    </xf>
    <xf numFmtId="17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72" xfId="0" applyNumberFormat="1" applyFont="1" applyFill="1" applyBorder="1" applyAlignment="1" applyProtection="1">
      <alignment vertical="center"/>
      <protection/>
    </xf>
    <xf numFmtId="179" fontId="5" fillId="0" borderId="45" xfId="0" applyNumberFormat="1" applyFont="1" applyFill="1" applyBorder="1" applyAlignment="1" applyProtection="1" quotePrefix="1">
      <alignment horizontal="right" vertical="center"/>
      <protection/>
    </xf>
    <xf numFmtId="179" fontId="5" fillId="0" borderId="45" xfId="0" applyNumberFormat="1" applyFont="1" applyFill="1" applyBorder="1" applyAlignment="1" applyProtection="1">
      <alignment horizontal="right" vertical="center"/>
      <protection/>
    </xf>
    <xf numFmtId="179" fontId="5" fillId="0" borderId="46" xfId="0" applyNumberFormat="1" applyFont="1" applyFill="1" applyBorder="1" applyAlignment="1" applyProtection="1" quotePrefix="1">
      <alignment horizontal="right" vertical="center"/>
      <protection/>
    </xf>
    <xf numFmtId="179" fontId="5" fillId="0" borderId="47" xfId="0" applyNumberFormat="1" applyFont="1" applyFill="1" applyBorder="1" applyAlignment="1" applyProtection="1">
      <alignment horizontal="right" vertical="center"/>
      <protection/>
    </xf>
    <xf numFmtId="180" fontId="5" fillId="0" borderId="46" xfId="0" applyNumberFormat="1" applyFont="1" applyFill="1" applyBorder="1" applyAlignment="1" applyProtection="1">
      <alignment horizontal="right" vertical="center"/>
      <protection/>
    </xf>
    <xf numFmtId="180" fontId="5" fillId="0" borderId="108" xfId="0" applyNumberFormat="1" applyFont="1" applyFill="1" applyBorder="1" applyAlignment="1" applyProtection="1" quotePrefix="1">
      <alignment horizontal="right" vertical="center"/>
      <protection/>
    </xf>
    <xf numFmtId="180" fontId="5" fillId="0" borderId="50" xfId="0" applyNumberFormat="1" applyFont="1" applyFill="1" applyBorder="1" applyAlignment="1" applyProtection="1" quotePrefix="1">
      <alignment horizontal="right" vertical="center"/>
      <protection/>
    </xf>
    <xf numFmtId="180" fontId="5" fillId="0" borderId="45" xfId="0" applyNumberFormat="1" applyFont="1" applyFill="1" applyBorder="1" applyAlignment="1" applyProtection="1">
      <alignment horizontal="right" vertical="center"/>
      <protection/>
    </xf>
    <xf numFmtId="180" fontId="5" fillId="0" borderId="50" xfId="0" applyNumberFormat="1" applyFont="1" applyFill="1" applyBorder="1" applyAlignment="1" applyProtection="1">
      <alignment horizontal="right" vertical="center"/>
      <protection/>
    </xf>
    <xf numFmtId="180" fontId="5" fillId="0" borderId="46" xfId="0" applyNumberFormat="1" applyFont="1" applyFill="1" applyBorder="1" applyAlignment="1" applyProtection="1" quotePrefix="1">
      <alignment horizontal="right" vertical="center"/>
      <protection/>
    </xf>
    <xf numFmtId="179" fontId="5" fillId="0" borderId="73" xfId="0" applyNumberFormat="1" applyFont="1" applyFill="1" applyBorder="1" applyAlignment="1" applyProtection="1">
      <alignment vertical="center"/>
      <protection locked="0"/>
    </xf>
    <xf numFmtId="179" fontId="5" fillId="0" borderId="10" xfId="0" applyNumberFormat="1" applyFont="1" applyFill="1" applyBorder="1" applyAlignment="1" applyProtection="1">
      <alignment horizontal="center" vertical="center"/>
      <protection/>
    </xf>
    <xf numFmtId="179" fontId="5" fillId="0" borderId="49" xfId="0" applyNumberFormat="1" applyFont="1" applyFill="1" applyBorder="1" applyAlignment="1" applyProtection="1">
      <alignment horizontal="center" vertical="center" shrinkToFit="1"/>
      <protection/>
    </xf>
    <xf numFmtId="179" fontId="5" fillId="0" borderId="32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 shrinkToFit="1"/>
      <protection/>
    </xf>
    <xf numFmtId="179" fontId="5" fillId="0" borderId="49" xfId="0" applyNumberFormat="1" applyFont="1" applyFill="1" applyBorder="1" applyAlignment="1" applyProtection="1" quotePrefix="1">
      <alignment horizontal="center" vertical="center"/>
      <protection/>
    </xf>
    <xf numFmtId="179" fontId="5" fillId="0" borderId="49" xfId="0" applyNumberFormat="1" applyFont="1" applyFill="1" applyBorder="1" applyAlignment="1" applyProtection="1">
      <alignment horizontal="center" vertical="center"/>
      <protection/>
    </xf>
    <xf numFmtId="180" fontId="5" fillId="0" borderId="109" xfId="0" applyNumberFormat="1" applyFont="1" applyFill="1" applyBorder="1" applyAlignment="1" applyProtection="1" quotePrefix="1">
      <alignment horizontal="center" vertical="center"/>
      <protection/>
    </xf>
    <xf numFmtId="180" fontId="5" fillId="0" borderId="110" xfId="0" applyNumberFormat="1" applyFont="1" applyFill="1" applyBorder="1" applyAlignment="1" applyProtection="1" quotePrefix="1">
      <alignment horizontal="center" vertical="center" shrinkToFit="1"/>
      <protection/>
    </xf>
    <xf numFmtId="180" fontId="5" fillId="0" borderId="49" xfId="0" applyNumberFormat="1" applyFont="1" applyFill="1" applyBorder="1" applyAlignment="1" applyProtection="1" quotePrefix="1">
      <alignment horizontal="center" vertical="center"/>
      <protection/>
    </xf>
    <xf numFmtId="179" fontId="5" fillId="0" borderId="20" xfId="0" applyNumberFormat="1" applyFont="1" applyFill="1" applyBorder="1" applyAlignment="1" applyProtection="1" quotePrefix="1">
      <alignment horizontal="center" vertical="center"/>
      <protection/>
    </xf>
    <xf numFmtId="179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Fill="1" applyAlignment="1" applyProtection="1">
      <alignment horizontal="center" vertical="center"/>
      <protection locked="0"/>
    </xf>
    <xf numFmtId="179" fontId="5" fillId="0" borderId="0" xfId="0" applyNumberFormat="1" applyFont="1" applyFill="1" applyAlignment="1" applyProtection="1">
      <alignment vertical="center"/>
      <protection locked="0"/>
    </xf>
    <xf numFmtId="17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vertical="center"/>
    </xf>
    <xf numFmtId="38" fontId="5" fillId="0" borderId="11" xfId="49" applyFont="1" applyBorder="1" applyAlignment="1" applyProtection="1" quotePrefix="1">
      <alignment horizontal="center" vertical="center"/>
      <protection locked="0"/>
    </xf>
    <xf numFmtId="38" fontId="5" fillId="0" borderId="10" xfId="49" applyFont="1" applyFill="1" applyBorder="1" applyAlignment="1" applyProtection="1">
      <alignment vertical="center"/>
      <protection/>
    </xf>
    <xf numFmtId="40" fontId="5" fillId="0" borderId="43" xfId="49" applyNumberFormat="1" applyFont="1" applyFill="1" applyBorder="1" applyAlignment="1" applyProtection="1">
      <alignment vertical="center"/>
      <protection/>
    </xf>
    <xf numFmtId="40" fontId="5" fillId="0" borderId="10" xfId="49" applyNumberFormat="1" applyFont="1" applyFill="1" applyBorder="1" applyAlignment="1" applyProtection="1">
      <alignment vertical="center"/>
      <protection/>
    </xf>
    <xf numFmtId="192" fontId="5" fillId="0" borderId="10" xfId="49" applyNumberFormat="1" applyFont="1" applyFill="1" applyBorder="1" applyAlignment="1" applyProtection="1">
      <alignment horizontal="center" vertical="center"/>
      <protection/>
    </xf>
    <xf numFmtId="40" fontId="5" fillId="0" borderId="10" xfId="49" applyNumberFormat="1" applyFont="1" applyFill="1" applyBorder="1" applyAlignment="1" applyProtection="1">
      <alignment vertical="center"/>
      <protection locked="0"/>
    </xf>
    <xf numFmtId="49" fontId="9" fillId="0" borderId="29" xfId="51" applyNumberFormat="1" applyFont="1" applyFill="1" applyBorder="1" applyAlignment="1" applyProtection="1">
      <alignment horizontal="center" vertical="center"/>
      <protection locked="0"/>
    </xf>
    <xf numFmtId="180" fontId="9" fillId="0" borderId="32" xfId="0" applyNumberFormat="1" applyFont="1" applyBorder="1" applyAlignment="1" applyProtection="1">
      <alignment horizontal="left" vertical="center"/>
      <protection/>
    </xf>
    <xf numFmtId="185" fontId="5" fillId="0" borderId="82" xfId="0" applyNumberFormat="1" applyFont="1" applyFill="1" applyBorder="1" applyAlignment="1" applyProtection="1">
      <alignment horizontal="left" vertical="center" shrinkToFit="1"/>
      <protection locked="0"/>
    </xf>
    <xf numFmtId="185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Fill="1" applyBorder="1" applyAlignment="1" applyProtection="1">
      <alignment horizontal="right" vertical="center" shrinkToFit="1"/>
      <protection/>
    </xf>
    <xf numFmtId="178" fontId="5" fillId="0" borderId="111" xfId="0" applyNumberFormat="1" applyFont="1" applyBorder="1" applyAlignment="1" applyProtection="1">
      <alignment horizontal="right" vertical="center"/>
      <protection/>
    </xf>
    <xf numFmtId="179" fontId="5" fillId="0" borderId="49" xfId="0" applyNumberFormat="1" applyFont="1" applyBorder="1" applyAlignment="1" applyProtection="1">
      <alignment horizontal="right" vertical="center"/>
      <protection locked="0"/>
    </xf>
    <xf numFmtId="49" fontId="5" fillId="0" borderId="78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112" xfId="0" applyNumberFormat="1" applyFont="1" applyBorder="1" applyAlignment="1" applyProtection="1">
      <alignment horizontal="center" vertical="center" shrinkToFit="1"/>
      <protection locked="0"/>
    </xf>
    <xf numFmtId="179" fontId="5" fillId="0" borderId="11" xfId="0" applyNumberFormat="1" applyFont="1" applyBorder="1" applyAlignment="1" applyProtection="1">
      <alignment horizontal="right" vertical="center"/>
      <protection locked="0"/>
    </xf>
    <xf numFmtId="179" fontId="5" fillId="0" borderId="113" xfId="0" applyNumberFormat="1" applyFont="1" applyBorder="1" applyAlignment="1" applyProtection="1">
      <alignment horizontal="center" vertical="center"/>
      <protection locked="0"/>
    </xf>
    <xf numFmtId="180" fontId="5" fillId="0" borderId="114" xfId="0" applyNumberFormat="1" applyFont="1" applyBorder="1" applyAlignment="1" applyProtection="1">
      <alignment horizontal="right" vertical="center"/>
      <protection locked="0"/>
    </xf>
    <xf numFmtId="179" fontId="5" fillId="0" borderId="86" xfId="0" applyNumberFormat="1" applyFont="1" applyBorder="1" applyAlignment="1" applyProtection="1">
      <alignment horizontal="center" vertical="center"/>
      <protection locked="0"/>
    </xf>
    <xf numFmtId="180" fontId="5" fillId="0" borderId="115" xfId="0" applyNumberFormat="1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179" fontId="5" fillId="0" borderId="16" xfId="0" applyNumberFormat="1" applyFont="1" applyFill="1" applyBorder="1" applyAlignment="1" applyProtection="1">
      <alignment horizontal="right" vertical="center" shrinkToFit="1"/>
      <protection/>
    </xf>
    <xf numFmtId="179" fontId="5" fillId="0" borderId="53" xfId="0" applyNumberFormat="1" applyFont="1" applyFill="1" applyBorder="1" applyAlignment="1" applyProtection="1">
      <alignment horizontal="right" vertical="center" shrinkToFit="1"/>
      <protection/>
    </xf>
    <xf numFmtId="180" fontId="5" fillId="0" borderId="11" xfId="0" applyNumberFormat="1" applyFont="1" applyBorder="1" applyAlignment="1" applyProtection="1">
      <alignment horizontal="right" vertical="center"/>
      <protection locked="0"/>
    </xf>
    <xf numFmtId="180" fontId="5" fillId="0" borderId="32" xfId="0" applyNumberFormat="1" applyFont="1" applyBorder="1" applyAlignment="1" applyProtection="1">
      <alignment horizontal="center" vertical="center"/>
      <protection locked="0"/>
    </xf>
    <xf numFmtId="180" fontId="5" fillId="0" borderId="74" xfId="0" applyNumberFormat="1" applyFont="1" applyBorder="1" applyAlignment="1" applyProtection="1">
      <alignment horizontal="center" vertical="center"/>
      <protection locked="0"/>
    </xf>
    <xf numFmtId="0" fontId="0" fillId="0" borderId="116" xfId="78" applyFont="1" applyBorder="1">
      <alignment vertical="center"/>
      <protection/>
    </xf>
    <xf numFmtId="0" fontId="5" fillId="0" borderId="16" xfId="0" applyFont="1" applyFill="1" applyBorder="1" applyAlignment="1" applyProtection="1">
      <alignment horizontal="right" vertical="center" shrinkToFit="1"/>
      <protection/>
    </xf>
    <xf numFmtId="0" fontId="5" fillId="0" borderId="80" xfId="0" applyFont="1" applyFill="1" applyBorder="1" applyAlignment="1" applyProtection="1">
      <alignment horizontal="right" vertical="center" shrinkToFit="1"/>
      <protection/>
    </xf>
    <xf numFmtId="0" fontId="5" fillId="0" borderId="76" xfId="0" applyFont="1" applyFill="1" applyBorder="1" applyAlignment="1" applyProtection="1">
      <alignment horizontal="right" vertical="center" shrinkToFi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 applyProtection="1">
      <alignment horizontal="right" vertical="center"/>
      <protection/>
    </xf>
    <xf numFmtId="180" fontId="10" fillId="0" borderId="12" xfId="0" applyNumberFormat="1" applyFont="1" applyFill="1" applyBorder="1" applyAlignment="1" applyProtection="1">
      <alignment horizontal="center" vertical="center"/>
      <protection/>
    </xf>
    <xf numFmtId="180" fontId="10" fillId="0" borderId="12" xfId="0" applyNumberFormat="1" applyFont="1" applyFill="1" applyBorder="1" applyAlignment="1" applyProtection="1" quotePrefix="1">
      <alignment horizontal="center" vertical="center"/>
      <protection/>
    </xf>
    <xf numFmtId="180" fontId="10" fillId="0" borderId="12" xfId="0" applyNumberFormat="1" applyFont="1" applyFill="1" applyBorder="1" applyAlignment="1" applyProtection="1">
      <alignment vertical="center"/>
      <protection/>
    </xf>
    <xf numFmtId="180" fontId="10" fillId="0" borderId="13" xfId="0" applyNumberFormat="1" applyFont="1" applyFill="1" applyBorder="1" applyAlignment="1" applyProtection="1">
      <alignment horizontal="right" vertical="center"/>
      <protection/>
    </xf>
    <xf numFmtId="180" fontId="10" fillId="0" borderId="16" xfId="0" applyNumberFormat="1" applyFont="1" applyFill="1" applyBorder="1" applyAlignment="1" applyProtection="1">
      <alignment vertical="center"/>
      <protection/>
    </xf>
    <xf numFmtId="180" fontId="10" fillId="0" borderId="13" xfId="0" applyNumberFormat="1" applyFont="1" applyFill="1" applyBorder="1" applyAlignment="1" applyProtection="1">
      <alignment vertical="center"/>
      <protection/>
    </xf>
    <xf numFmtId="180" fontId="4" fillId="0" borderId="16" xfId="0" applyNumberFormat="1" applyFont="1" applyFill="1" applyBorder="1" applyAlignment="1" applyProtection="1">
      <alignment vertical="center"/>
      <protection/>
    </xf>
    <xf numFmtId="180" fontId="10" fillId="0" borderId="48" xfId="0" applyNumberFormat="1" applyFont="1" applyFill="1" applyBorder="1" applyAlignment="1" applyProtection="1">
      <alignment vertical="center"/>
      <protection/>
    </xf>
    <xf numFmtId="180" fontId="10" fillId="0" borderId="48" xfId="0" applyNumberFormat="1" applyFont="1" applyFill="1" applyBorder="1" applyAlignment="1" applyProtection="1">
      <alignment horizontal="center" vertical="center"/>
      <protection/>
    </xf>
    <xf numFmtId="180" fontId="10" fillId="0" borderId="16" xfId="0" applyNumberFormat="1" applyFont="1" applyFill="1" applyBorder="1" applyAlignment="1" applyProtection="1">
      <alignment horizontal="center" vertical="center"/>
      <protection/>
    </xf>
    <xf numFmtId="180" fontId="10" fillId="0" borderId="103" xfId="0" applyNumberFormat="1" applyFont="1" applyFill="1" applyBorder="1" applyAlignment="1" applyProtection="1">
      <alignment vertical="center"/>
      <protection/>
    </xf>
    <xf numFmtId="180" fontId="10" fillId="0" borderId="45" xfId="0" applyNumberFormat="1" applyFont="1" applyFill="1" applyBorder="1" applyAlignment="1" applyProtection="1" quotePrefix="1">
      <alignment horizontal="center" vertical="center"/>
      <protection/>
    </xf>
    <xf numFmtId="180" fontId="10" fillId="0" borderId="46" xfId="0" applyNumberFormat="1" applyFont="1" applyFill="1" applyBorder="1" applyAlignment="1" applyProtection="1" quotePrefix="1">
      <alignment horizontal="center" vertical="center"/>
      <protection/>
    </xf>
    <xf numFmtId="180" fontId="10" fillId="0" borderId="46" xfId="0" applyNumberFormat="1" applyFont="1" applyFill="1" applyBorder="1" applyAlignment="1" applyProtection="1">
      <alignment horizontal="center" vertical="center"/>
      <protection/>
    </xf>
    <xf numFmtId="180" fontId="10" fillId="0" borderId="45" xfId="0" applyNumberFormat="1" applyFont="1" applyFill="1" applyBorder="1" applyAlignment="1" applyProtection="1">
      <alignment horizontal="center" vertical="center"/>
      <protection/>
    </xf>
    <xf numFmtId="180" fontId="10" fillId="0" borderId="45" xfId="0" applyNumberFormat="1" applyFont="1" applyFill="1" applyBorder="1" applyAlignment="1" applyProtection="1">
      <alignment horizontal="center" vertical="center" shrinkToFit="1"/>
      <protection/>
    </xf>
    <xf numFmtId="180" fontId="10" fillId="0" borderId="10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80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 quotePrefix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117" xfId="0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center"/>
    </xf>
    <xf numFmtId="0" fontId="4" fillId="0" borderId="68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180" fontId="10" fillId="0" borderId="75" xfId="0" applyNumberFormat="1" applyFont="1" applyFill="1" applyBorder="1" applyAlignment="1" applyProtection="1">
      <alignment vertical="center"/>
      <protection/>
    </xf>
    <xf numFmtId="180" fontId="10" fillId="0" borderId="92" xfId="0" applyNumberFormat="1" applyFont="1" applyFill="1" applyBorder="1" applyAlignment="1" applyProtection="1">
      <alignment vertical="center"/>
      <protection/>
    </xf>
    <xf numFmtId="180" fontId="10" fillId="0" borderId="69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180" fontId="10" fillId="0" borderId="72" xfId="0" applyNumberFormat="1" applyFont="1" applyFill="1" applyBorder="1" applyAlignment="1" applyProtection="1">
      <alignment horizontal="right" vertical="center"/>
      <protection/>
    </xf>
    <xf numFmtId="180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right" vertical="center"/>
      <protection/>
    </xf>
    <xf numFmtId="180" fontId="10" fillId="0" borderId="50" xfId="0" applyNumberFormat="1" applyFont="1" applyFill="1" applyBorder="1" applyAlignment="1" applyProtection="1">
      <alignment horizontal="right" vertical="center"/>
      <protection/>
    </xf>
    <xf numFmtId="180" fontId="10" fillId="0" borderId="45" xfId="0" applyNumberFormat="1" applyFont="1" applyFill="1" applyBorder="1" applyAlignment="1" applyProtection="1" quotePrefix="1">
      <alignment horizontal="right" vertical="center"/>
      <protection/>
    </xf>
    <xf numFmtId="180" fontId="10" fillId="0" borderId="104" xfId="0" applyNumberFormat="1" applyFont="1" applyFill="1" applyBorder="1" applyAlignment="1" applyProtection="1" quotePrefix="1">
      <alignment horizontal="right" vertical="center"/>
      <protection/>
    </xf>
    <xf numFmtId="180" fontId="10" fillId="0" borderId="50" xfId="0" applyNumberFormat="1" applyFont="1" applyFill="1" applyBorder="1" applyAlignment="1" applyProtection="1" quotePrefix="1">
      <alignment horizontal="right" vertical="center"/>
      <protection/>
    </xf>
    <xf numFmtId="180" fontId="10" fillId="0" borderId="46" xfId="0" applyNumberFormat="1" applyFont="1" applyFill="1" applyBorder="1" applyAlignment="1" applyProtection="1" quotePrefix="1">
      <alignment horizontal="right" vertical="center"/>
      <protection/>
    </xf>
    <xf numFmtId="180" fontId="10" fillId="0" borderId="45" xfId="0" applyNumberFormat="1" applyFont="1" applyFill="1" applyBorder="1" applyAlignment="1" applyProtection="1">
      <alignment vertical="center"/>
      <protection/>
    </xf>
    <xf numFmtId="180" fontId="10" fillId="0" borderId="101" xfId="0" applyNumberFormat="1" applyFont="1" applyFill="1" applyBorder="1" applyAlignment="1" applyProtection="1" quotePrefix="1">
      <alignment horizontal="right" vertical="center"/>
      <protection/>
    </xf>
    <xf numFmtId="180" fontId="10" fillId="0" borderId="10" xfId="0" applyNumberFormat="1" applyFont="1" applyFill="1" applyBorder="1" applyAlignment="1" applyProtection="1" quotePrefix="1">
      <alignment horizontal="center" vertical="center"/>
      <protection/>
    </xf>
    <xf numFmtId="180" fontId="10" fillId="0" borderId="49" xfId="0" applyNumberFormat="1" applyFont="1" applyFill="1" applyBorder="1" applyAlignment="1" applyProtection="1" quotePrefix="1">
      <alignment horizontal="center" vertical="center"/>
      <protection/>
    </xf>
    <xf numFmtId="180" fontId="10" fillId="0" borderId="49" xfId="0" applyNumberFormat="1" applyFont="1" applyFill="1" applyBorder="1" applyAlignment="1" applyProtection="1">
      <alignment horizontal="center" vertical="center"/>
      <protection/>
    </xf>
    <xf numFmtId="180" fontId="10" fillId="0" borderId="16" xfId="0" applyNumberFormat="1" applyFont="1" applyFill="1" applyBorder="1" applyAlignment="1" applyProtection="1">
      <alignment horizontal="center" vertical="center" shrinkToFit="1"/>
      <protection/>
    </xf>
    <xf numFmtId="180" fontId="10" fillId="0" borderId="10" xfId="0" applyNumberFormat="1" applyFont="1" applyFill="1" applyBorder="1" applyAlignment="1" applyProtection="1">
      <alignment horizontal="center" vertical="center"/>
      <protection/>
    </xf>
    <xf numFmtId="180" fontId="10" fillId="0" borderId="102" xfId="0" applyNumberFormat="1" applyFont="1" applyFill="1" applyBorder="1" applyAlignment="1" applyProtection="1">
      <alignment horizontal="center" vertical="center"/>
      <protection/>
    </xf>
    <xf numFmtId="180" fontId="10" fillId="0" borderId="20" xfId="0" applyNumberFormat="1" applyFont="1" applyFill="1" applyBorder="1" applyAlignment="1" applyProtection="1">
      <alignment horizontal="right" vertical="center"/>
      <protection/>
    </xf>
    <xf numFmtId="180" fontId="10" fillId="0" borderId="2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9" fontId="1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 quotePrefix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0" fontId="5" fillId="0" borderId="93" xfId="0" applyFont="1" applyFill="1" applyBorder="1" applyAlignment="1" applyProtection="1" quotePrefix="1">
      <alignment horizontal="centerContinuous" vertical="center"/>
      <protection/>
    </xf>
    <xf numFmtId="0" fontId="5" fillId="0" borderId="118" xfId="0" applyFont="1" applyFill="1" applyBorder="1" applyAlignment="1" applyProtection="1">
      <alignment horizontal="right" vertical="center" shrinkToFit="1"/>
      <protection/>
    </xf>
    <xf numFmtId="196" fontId="5" fillId="0" borderId="49" xfId="0" applyNumberFormat="1" applyFont="1" applyFill="1" applyBorder="1" applyAlignment="1" applyProtection="1">
      <alignment horizontal="center" vertical="center" shrinkToFit="1"/>
      <protection/>
    </xf>
    <xf numFmtId="180" fontId="5" fillId="0" borderId="75" xfId="0" applyNumberFormat="1" applyFont="1" applyFill="1" applyBorder="1" applyAlignment="1" applyProtection="1">
      <alignment horizontal="right" vertical="center" shrinkToFit="1"/>
      <protection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Alignment="1">
      <alignment horizontal="center" vertical="center"/>
    </xf>
    <xf numFmtId="203" fontId="5" fillId="0" borderId="0" xfId="0" applyNumberFormat="1" applyFont="1" applyBorder="1" applyAlignment="1" applyProtection="1">
      <alignment vertical="center" shrinkToFit="1"/>
      <protection/>
    </xf>
    <xf numFmtId="179" fontId="5" fillId="0" borderId="0" xfId="0" applyNumberFormat="1" applyFont="1" applyAlignment="1">
      <alignment horizontal="center" vertical="center"/>
    </xf>
    <xf numFmtId="180" fontId="5" fillId="0" borderId="16" xfId="0" applyNumberFormat="1" applyFont="1" applyBorder="1" applyAlignment="1" applyProtection="1">
      <alignment horizontal="center" vertical="center" shrinkToFit="1"/>
      <protection locked="0"/>
    </xf>
    <xf numFmtId="180" fontId="5" fillId="0" borderId="48" xfId="0" applyNumberFormat="1" applyFont="1" applyBorder="1" applyAlignment="1" applyProtection="1">
      <alignment horizontal="right" vertical="center" shrinkToFit="1"/>
      <protection locked="0"/>
    </xf>
    <xf numFmtId="180" fontId="5" fillId="0" borderId="77" xfId="0" applyNumberFormat="1" applyFont="1" applyBorder="1" applyAlignment="1" applyProtection="1">
      <alignment horizontal="right" vertical="center" shrinkToFit="1"/>
      <protection locked="0"/>
    </xf>
    <xf numFmtId="180" fontId="5" fillId="0" borderId="3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68" applyFont="1" applyAlignment="1">
      <alignment vertical="center"/>
      <protection/>
    </xf>
    <xf numFmtId="0" fontId="4" fillId="0" borderId="0" xfId="68" applyFont="1" applyAlignment="1" quotePrefix="1">
      <alignment horizontal="left" vertical="center"/>
      <protection/>
    </xf>
    <xf numFmtId="0" fontId="4" fillId="0" borderId="0" xfId="68" applyNumberFormat="1" applyFont="1" applyAlignment="1">
      <alignment vertical="center"/>
      <protection/>
    </xf>
    <xf numFmtId="0" fontId="4" fillId="0" borderId="0" xfId="68" applyFont="1" applyAlignment="1">
      <alignment horizontal="center" vertical="center"/>
      <protection/>
    </xf>
    <xf numFmtId="0" fontId="44" fillId="0" borderId="0" xfId="68" applyFont="1" applyAlignment="1">
      <alignment vertical="center"/>
      <protection/>
    </xf>
    <xf numFmtId="179" fontId="6" fillId="0" borderId="0" xfId="68" applyNumberFormat="1" applyFont="1" applyAlignment="1" applyProtection="1">
      <alignment vertical="center"/>
      <protection/>
    </xf>
    <xf numFmtId="179" fontId="17" fillId="0" borderId="0" xfId="68" applyNumberFormat="1" applyFont="1" applyAlignment="1" applyProtection="1">
      <alignment vertical="center"/>
      <protection/>
    </xf>
    <xf numFmtId="179" fontId="44" fillId="0" borderId="0" xfId="68" applyNumberFormat="1" applyFont="1" applyAlignment="1">
      <alignment vertical="center"/>
      <protection/>
    </xf>
    <xf numFmtId="179" fontId="8" fillId="0" borderId="0" xfId="68" applyNumberFormat="1" applyFont="1" applyAlignment="1">
      <alignment vertical="center"/>
      <protection/>
    </xf>
    <xf numFmtId="179" fontId="9" fillId="0" borderId="0" xfId="68" applyNumberFormat="1" applyFont="1" applyAlignment="1" applyProtection="1">
      <alignment vertical="center"/>
      <protection/>
    </xf>
    <xf numFmtId="0" fontId="9" fillId="0" borderId="0" xfId="68" applyNumberFormat="1" applyFont="1" applyAlignment="1" applyProtection="1">
      <alignment vertical="center"/>
      <protection/>
    </xf>
    <xf numFmtId="179" fontId="39" fillId="0" borderId="0" xfId="68" applyNumberFormat="1" applyFont="1" applyAlignment="1" applyProtection="1">
      <alignment horizontal="left" vertical="center"/>
      <protection/>
    </xf>
    <xf numFmtId="179" fontId="10" fillId="0" borderId="0" xfId="68" applyNumberFormat="1" applyFont="1" applyAlignment="1" applyProtection="1">
      <alignment horizontal="center" vertical="center"/>
      <protection/>
    </xf>
    <xf numFmtId="179" fontId="10" fillId="0" borderId="0" xfId="68" applyNumberFormat="1" applyFont="1" applyAlignment="1">
      <alignment vertical="center"/>
      <protection/>
    </xf>
    <xf numFmtId="179" fontId="10" fillId="0" borderId="12" xfId="68" applyNumberFormat="1" applyFont="1" applyBorder="1" applyAlignment="1" applyProtection="1">
      <alignment horizontal="right" vertical="center"/>
      <protection locked="0"/>
    </xf>
    <xf numFmtId="179" fontId="10" fillId="0" borderId="12" xfId="68" applyNumberFormat="1" applyFont="1" applyBorder="1" applyAlignment="1" applyProtection="1">
      <alignment horizontal="left" vertical="center"/>
      <protection/>
    </xf>
    <xf numFmtId="179" fontId="10" fillId="0" borderId="12" xfId="68" applyNumberFormat="1" applyFont="1" applyBorder="1" applyAlignment="1" applyProtection="1">
      <alignment vertical="center"/>
      <protection locked="0"/>
    </xf>
    <xf numFmtId="0" fontId="10" fillId="0" borderId="12" xfId="68" applyNumberFormat="1" applyFont="1" applyBorder="1" applyAlignment="1" applyProtection="1">
      <alignment vertical="center"/>
      <protection/>
    </xf>
    <xf numFmtId="179" fontId="10" fillId="0" borderId="12" xfId="68" applyNumberFormat="1" applyFont="1" applyBorder="1" applyAlignment="1" applyProtection="1">
      <alignment horizontal="center" vertical="center"/>
      <protection/>
    </xf>
    <xf numFmtId="179" fontId="10" fillId="0" borderId="12" xfId="68" applyNumberFormat="1" applyFont="1" applyBorder="1" applyAlignment="1" applyProtection="1">
      <alignment vertical="center"/>
      <protection/>
    </xf>
    <xf numFmtId="179" fontId="10" fillId="0" borderId="12" xfId="68" applyNumberFormat="1" applyFont="1" applyBorder="1" applyAlignment="1" applyProtection="1">
      <alignment horizontal="right" vertical="center"/>
      <protection/>
    </xf>
    <xf numFmtId="49" fontId="9" fillId="0" borderId="13" xfId="68" applyNumberFormat="1" applyFont="1" applyBorder="1" applyAlignment="1" applyProtection="1">
      <alignment horizontal="center" vertical="center"/>
      <protection/>
    </xf>
    <xf numFmtId="179" fontId="10" fillId="0" borderId="17" xfId="68" applyNumberFormat="1" applyFont="1" applyBorder="1" applyAlignment="1" applyProtection="1">
      <alignment horizontal="center" vertical="center"/>
      <protection/>
    </xf>
    <xf numFmtId="179" fontId="17" fillId="0" borderId="0" xfId="68" applyNumberFormat="1" applyFont="1" applyBorder="1" applyAlignment="1" applyProtection="1">
      <alignment vertical="center"/>
      <protection/>
    </xf>
    <xf numFmtId="179" fontId="10" fillId="0" borderId="13" xfId="68" applyNumberFormat="1" applyFont="1" applyBorder="1" applyAlignment="1" applyProtection="1">
      <alignment horizontal="center" vertical="center"/>
      <protection/>
    </xf>
    <xf numFmtId="179" fontId="10" fillId="0" borderId="16" xfId="68" applyNumberFormat="1" applyFont="1" applyBorder="1" applyAlignment="1" applyProtection="1">
      <alignment horizontal="center" vertical="center"/>
      <protection/>
    </xf>
    <xf numFmtId="179" fontId="0" fillId="0" borderId="18" xfId="68" applyNumberFormat="1" applyFont="1" applyBorder="1" applyAlignment="1" applyProtection="1">
      <alignment horizontal="center" vertical="center"/>
      <protection/>
    </xf>
    <xf numFmtId="179" fontId="10" fillId="0" borderId="18" xfId="68" applyNumberFormat="1" applyFont="1" applyBorder="1" applyAlignment="1" applyProtection="1">
      <alignment horizontal="center" vertical="center"/>
      <protection/>
    </xf>
    <xf numFmtId="179" fontId="10" fillId="0" borderId="19" xfId="68" applyNumberFormat="1" applyFont="1" applyBorder="1" applyAlignment="1" applyProtection="1">
      <alignment horizontal="center" vertical="center"/>
      <protection/>
    </xf>
    <xf numFmtId="49" fontId="9" fillId="0" borderId="20" xfId="68" applyNumberFormat="1" applyFont="1" applyBorder="1" applyAlignment="1" applyProtection="1">
      <alignment horizontal="center" vertical="center"/>
      <protection/>
    </xf>
    <xf numFmtId="179" fontId="10" fillId="0" borderId="25" xfId="68" applyNumberFormat="1" applyFont="1" applyBorder="1" applyAlignment="1" applyProtection="1">
      <alignment horizontal="center" vertical="center"/>
      <protection/>
    </xf>
    <xf numFmtId="179" fontId="44" fillId="0" borderId="0" xfId="68" applyNumberFormat="1" applyFont="1" applyAlignment="1">
      <alignment horizontal="center" vertical="center"/>
      <protection/>
    </xf>
    <xf numFmtId="179" fontId="9" fillId="0" borderId="0" xfId="68" applyNumberFormat="1" applyFont="1" applyFill="1" applyAlignment="1" applyProtection="1">
      <alignment vertical="center"/>
      <protection/>
    </xf>
    <xf numFmtId="190" fontId="12" fillId="0" borderId="29" xfId="68" applyNumberFormat="1" applyFont="1" applyFill="1" applyBorder="1" applyAlignment="1" applyProtection="1">
      <alignment vertical="center"/>
      <protection locked="0"/>
    </xf>
    <xf numFmtId="190" fontId="12" fillId="0" borderId="10" xfId="68" applyNumberFormat="1" applyFont="1" applyFill="1" applyBorder="1" applyAlignment="1" applyProtection="1">
      <alignment vertical="center"/>
      <protection locked="0"/>
    </xf>
    <xf numFmtId="190" fontId="12" fillId="0" borderId="119" xfId="68" applyNumberFormat="1" applyFont="1" applyFill="1" applyBorder="1" applyAlignment="1" applyProtection="1">
      <alignment vertical="center"/>
      <protection locked="0"/>
    </xf>
    <xf numFmtId="190" fontId="9" fillId="0" borderId="120" xfId="68" applyNumberFormat="1" applyFont="1" applyFill="1" applyBorder="1" applyAlignment="1" applyProtection="1">
      <alignment vertical="center"/>
      <protection/>
    </xf>
    <xf numFmtId="190" fontId="9" fillId="0" borderId="10" xfId="68" applyNumberFormat="1" applyFont="1" applyFill="1" applyBorder="1" applyAlignment="1" applyProtection="1">
      <alignment vertical="center"/>
      <protection/>
    </xf>
    <xf numFmtId="190" fontId="9" fillId="0" borderId="43" xfId="68" applyNumberFormat="1" applyFont="1" applyFill="1" applyBorder="1" applyAlignment="1" applyProtection="1">
      <alignment vertical="center"/>
      <protection/>
    </xf>
    <xf numFmtId="180" fontId="10" fillId="0" borderId="28" xfId="68" applyNumberFormat="1" applyFont="1" applyFill="1" applyBorder="1" applyAlignment="1" applyProtection="1">
      <alignment horizontal="center" vertical="center" wrapText="1" shrinkToFit="1"/>
      <protection locked="0"/>
    </xf>
    <xf numFmtId="179" fontId="17" fillId="0" borderId="0" xfId="68" applyNumberFormat="1" applyFont="1" applyFill="1" applyBorder="1" applyAlignment="1" applyProtection="1">
      <alignment vertical="center"/>
      <protection/>
    </xf>
    <xf numFmtId="179" fontId="44" fillId="0" borderId="0" xfId="68" applyNumberFormat="1" applyFont="1" applyFill="1" applyAlignment="1">
      <alignment vertical="center"/>
      <protection/>
    </xf>
    <xf numFmtId="204" fontId="44" fillId="0" borderId="0" xfId="68" applyNumberFormat="1" applyFont="1" applyFill="1" applyAlignment="1">
      <alignment vertical="center"/>
      <protection/>
    </xf>
    <xf numFmtId="179" fontId="10" fillId="0" borderId="0" xfId="68" applyNumberFormat="1" applyFont="1" applyFill="1" applyAlignment="1">
      <alignment vertical="center"/>
      <protection/>
    </xf>
    <xf numFmtId="190" fontId="9" fillId="0" borderId="120" xfId="68" applyNumberFormat="1" applyFont="1" applyFill="1" applyBorder="1" applyAlignment="1" applyProtection="1">
      <alignment vertical="center"/>
      <protection locked="0"/>
    </xf>
    <xf numFmtId="179" fontId="4" fillId="0" borderId="28" xfId="68" applyNumberFormat="1" applyFont="1" applyFill="1" applyBorder="1" applyAlignment="1" applyProtection="1">
      <alignment horizontal="center" vertical="center" shrinkToFit="1"/>
      <protection locked="0"/>
    </xf>
    <xf numFmtId="190" fontId="12" fillId="0" borderId="120" xfId="68" applyNumberFormat="1" applyFont="1" applyFill="1" applyBorder="1" applyAlignment="1" applyProtection="1">
      <alignment vertical="center"/>
      <protection locked="0"/>
    </xf>
    <xf numFmtId="190" fontId="10" fillId="0" borderId="120" xfId="68" applyNumberFormat="1" applyFont="1" applyFill="1" applyBorder="1" applyAlignment="1" applyProtection="1">
      <alignment vertical="center"/>
      <protection locked="0"/>
    </xf>
    <xf numFmtId="190" fontId="9" fillId="0" borderId="10" xfId="68" applyNumberFormat="1" applyFont="1" applyFill="1" applyBorder="1" applyAlignment="1" applyProtection="1">
      <alignment vertical="center" shrinkToFit="1"/>
      <protection/>
    </xf>
    <xf numFmtId="180" fontId="9" fillId="0" borderId="10" xfId="68" applyNumberFormat="1" applyFont="1" applyFill="1" applyBorder="1" applyAlignment="1" applyProtection="1">
      <alignment vertical="center"/>
      <protection/>
    </xf>
    <xf numFmtId="179" fontId="45" fillId="0" borderId="28" xfId="68" applyNumberFormat="1" applyFont="1" applyFill="1" applyBorder="1" applyAlignment="1" applyProtection="1">
      <alignment horizontal="center" vertical="center" wrapText="1"/>
      <protection locked="0"/>
    </xf>
    <xf numFmtId="179" fontId="17" fillId="0" borderId="0" xfId="68" applyNumberFormat="1" applyFont="1" applyFill="1" applyBorder="1" applyAlignment="1" applyProtection="1">
      <alignment vertical="center" shrinkToFit="1"/>
      <protection/>
    </xf>
    <xf numFmtId="190" fontId="12" fillId="0" borderId="29" xfId="68" applyNumberFormat="1" applyFont="1" applyFill="1" applyBorder="1" applyAlignment="1" applyProtection="1">
      <alignment vertical="center" shrinkToFit="1"/>
      <protection locked="0"/>
    </xf>
    <xf numFmtId="179" fontId="4" fillId="0" borderId="28" xfId="68" applyNumberFormat="1" applyFont="1" applyFill="1" applyBorder="1" applyAlignment="1" applyProtection="1">
      <alignment horizontal="center" vertical="center"/>
      <protection locked="0"/>
    </xf>
    <xf numFmtId="190" fontId="42" fillId="0" borderId="10" xfId="68" applyNumberFormat="1" applyFont="1" applyFill="1" applyBorder="1" applyAlignment="1" applyProtection="1">
      <alignment vertical="center"/>
      <protection/>
    </xf>
    <xf numFmtId="190" fontId="42" fillId="0" borderId="43" xfId="68" applyNumberFormat="1" applyFont="1" applyFill="1" applyBorder="1" applyAlignment="1" applyProtection="1">
      <alignment vertical="center"/>
      <protection/>
    </xf>
    <xf numFmtId="190" fontId="12" fillId="0" borderId="119" xfId="68" applyNumberFormat="1" applyFont="1" applyFill="1" applyBorder="1" applyAlignment="1" applyProtection="1">
      <alignment vertical="center" shrinkToFit="1"/>
      <protection locked="0"/>
    </xf>
    <xf numFmtId="179" fontId="17" fillId="0" borderId="0" xfId="68" applyNumberFormat="1" applyFont="1" applyFill="1" applyAlignment="1" applyProtection="1">
      <alignment vertical="center"/>
      <protection/>
    </xf>
    <xf numFmtId="49" fontId="12" fillId="0" borderId="29" xfId="68" applyNumberFormat="1" applyFont="1" applyFill="1" applyBorder="1" applyAlignment="1" applyProtection="1">
      <alignment horizontal="center" vertical="center"/>
      <protection locked="0"/>
    </xf>
    <xf numFmtId="49" fontId="9" fillId="0" borderId="35" xfId="68" applyNumberFormat="1" applyFont="1" applyFill="1" applyBorder="1" applyAlignment="1" applyProtection="1">
      <alignment horizontal="center" vertical="center"/>
      <protection/>
    </xf>
    <xf numFmtId="190" fontId="9" fillId="0" borderId="35" xfId="68" applyNumberFormat="1" applyFont="1" applyFill="1" applyBorder="1" applyAlignment="1" applyProtection="1">
      <alignment vertical="center" shrinkToFit="1"/>
      <protection/>
    </xf>
    <xf numFmtId="190" fontId="9" fillId="0" borderId="36" xfId="68" applyNumberFormat="1" applyFont="1" applyFill="1" applyBorder="1" applyAlignment="1" applyProtection="1">
      <alignment vertical="center" shrinkToFit="1"/>
      <protection/>
    </xf>
    <xf numFmtId="190" fontId="9" fillId="0" borderId="121" xfId="68" applyNumberFormat="1" applyFont="1" applyFill="1" applyBorder="1" applyAlignment="1" applyProtection="1">
      <alignment vertical="center" shrinkToFit="1"/>
      <protection/>
    </xf>
    <xf numFmtId="190" fontId="9" fillId="0" borderId="38" xfId="68" applyNumberFormat="1" applyFont="1" applyFill="1" applyBorder="1" applyAlignment="1" applyProtection="1">
      <alignment vertical="center" shrinkToFit="1"/>
      <protection/>
    </xf>
    <xf numFmtId="190" fontId="9" fillId="0" borderId="55" xfId="68" applyNumberFormat="1" applyFont="1" applyFill="1" applyBorder="1" applyAlignment="1" applyProtection="1">
      <alignment vertical="center" shrinkToFit="1"/>
      <protection/>
    </xf>
    <xf numFmtId="179" fontId="4" fillId="0" borderId="122" xfId="68" applyNumberFormat="1" applyFont="1" applyFill="1" applyBorder="1" applyAlignment="1" applyProtection="1" quotePrefix="1">
      <alignment horizontal="center" vertical="center" shrinkToFit="1"/>
      <protection/>
    </xf>
    <xf numFmtId="49" fontId="9" fillId="0" borderId="29" xfId="68" applyNumberFormat="1" applyFont="1" applyFill="1" applyBorder="1" applyAlignment="1" applyProtection="1">
      <alignment horizontal="center" vertical="center"/>
      <protection/>
    </xf>
    <xf numFmtId="190" fontId="9" fillId="0" borderId="29" xfId="68" applyNumberFormat="1" applyFont="1" applyFill="1" applyBorder="1" applyAlignment="1" applyProtection="1">
      <alignment vertical="center" shrinkToFit="1"/>
      <protection/>
    </xf>
    <xf numFmtId="190" fontId="9" fillId="0" borderId="119" xfId="68" applyNumberFormat="1" applyFont="1" applyFill="1" applyBorder="1" applyAlignment="1" applyProtection="1">
      <alignment vertical="center" shrinkToFit="1"/>
      <protection/>
    </xf>
    <xf numFmtId="190" fontId="9" fillId="0" borderId="43" xfId="68" applyNumberFormat="1" applyFont="1" applyFill="1" applyBorder="1" applyAlignment="1" applyProtection="1">
      <alignment vertical="center" shrinkToFit="1"/>
      <protection/>
    </xf>
    <xf numFmtId="179" fontId="4" fillId="0" borderId="28" xfId="68" applyNumberFormat="1" applyFont="1" applyFill="1" applyBorder="1" applyAlignment="1" applyProtection="1" quotePrefix="1">
      <alignment horizontal="center" vertical="center" shrinkToFit="1"/>
      <protection/>
    </xf>
    <xf numFmtId="190" fontId="9" fillId="0" borderId="20" xfId="68" applyNumberFormat="1" applyFont="1" applyBorder="1" applyAlignment="1" applyProtection="1">
      <alignment vertical="center"/>
      <protection/>
    </xf>
    <xf numFmtId="190" fontId="11" fillId="0" borderId="21" xfId="68" applyNumberFormat="1" applyFont="1" applyBorder="1" applyAlignment="1" applyProtection="1">
      <alignment vertical="center"/>
      <protection locked="0"/>
    </xf>
    <xf numFmtId="190" fontId="9" fillId="0" borderId="123" xfId="68" applyNumberFormat="1" applyFont="1" applyBorder="1" applyAlignment="1" applyProtection="1">
      <alignment vertical="center"/>
      <protection/>
    </xf>
    <xf numFmtId="190" fontId="9" fillId="0" borderId="124" xfId="68" applyNumberFormat="1" applyFont="1" applyBorder="1" applyAlignment="1" applyProtection="1">
      <alignment vertical="center"/>
      <protection/>
    </xf>
    <xf numFmtId="190" fontId="9" fillId="0" borderId="21" xfId="68" applyNumberFormat="1" applyFont="1" applyBorder="1" applyAlignment="1" applyProtection="1">
      <alignment vertical="center"/>
      <protection/>
    </xf>
    <xf numFmtId="190" fontId="9" fillId="0" borderId="22" xfId="68" applyNumberFormat="1" applyFont="1" applyBorder="1" applyAlignment="1" applyProtection="1">
      <alignment vertical="center"/>
      <protection/>
    </xf>
    <xf numFmtId="179" fontId="4" fillId="0" borderId="25" xfId="68" applyNumberFormat="1" applyFont="1" applyBorder="1" applyAlignment="1" applyProtection="1">
      <alignment horizontal="center" vertical="center"/>
      <protection/>
    </xf>
    <xf numFmtId="179" fontId="10" fillId="0" borderId="13" xfId="68" applyNumberFormat="1" applyFont="1" applyBorder="1" applyAlignment="1" applyProtection="1" quotePrefix="1">
      <alignment horizontal="right" vertical="center"/>
      <protection/>
    </xf>
    <xf numFmtId="179" fontId="10" fillId="0" borderId="16" xfId="68" applyNumberFormat="1" applyFont="1" applyBorder="1" applyAlignment="1" applyProtection="1" quotePrefix="1">
      <alignment horizontal="right" vertical="center"/>
      <protection/>
    </xf>
    <xf numFmtId="0" fontId="10" fillId="0" borderId="125" xfId="68" applyNumberFormat="1" applyFont="1" applyBorder="1" applyAlignment="1" applyProtection="1" quotePrefix="1">
      <alignment horizontal="right" vertical="center"/>
      <protection/>
    </xf>
    <xf numFmtId="179" fontId="10" fillId="0" borderId="126" xfId="68" applyNumberFormat="1" applyFont="1" applyBorder="1" applyAlignment="1" applyProtection="1" quotePrefix="1">
      <alignment horizontal="right" vertical="center"/>
      <protection/>
    </xf>
    <xf numFmtId="179" fontId="10" fillId="0" borderId="18" xfId="68" applyNumberFormat="1" applyFont="1" applyBorder="1" applyAlignment="1" applyProtection="1" quotePrefix="1">
      <alignment horizontal="right" vertical="center"/>
      <protection/>
    </xf>
    <xf numFmtId="0" fontId="10" fillId="0" borderId="125" xfId="68" applyNumberFormat="1" applyFont="1" applyBorder="1" applyAlignment="1" applyProtection="1">
      <alignment horizontal="center" vertical="center"/>
      <protection/>
    </xf>
    <xf numFmtId="179" fontId="10" fillId="0" borderId="127" xfId="68" applyNumberFormat="1" applyFont="1" applyBorder="1" applyAlignment="1" applyProtection="1">
      <alignment horizontal="center" vertical="center"/>
      <protection/>
    </xf>
    <xf numFmtId="49" fontId="12" fillId="0" borderId="20" xfId="68" applyNumberFormat="1" applyFont="1" applyBorder="1" applyAlignment="1" applyProtection="1">
      <alignment horizontal="center" vertical="center"/>
      <protection/>
    </xf>
    <xf numFmtId="0" fontId="1" fillId="0" borderId="0" xfId="68" applyFont="1" applyAlignment="1" applyProtection="1">
      <alignment vertical="center"/>
      <protection/>
    </xf>
    <xf numFmtId="0" fontId="1" fillId="0" borderId="0" xfId="68" applyNumberFormat="1" applyFont="1" applyAlignment="1" applyProtection="1">
      <alignment vertical="center"/>
      <protection/>
    </xf>
    <xf numFmtId="0" fontId="0" fillId="0" borderId="0" xfId="68" applyFont="1" applyAlignment="1" applyProtection="1">
      <alignment horizontal="center" vertical="center"/>
      <protection/>
    </xf>
    <xf numFmtId="0" fontId="17" fillId="0" borderId="0" xfId="68" applyFont="1" applyAlignment="1" applyProtection="1">
      <alignment vertical="center"/>
      <protection/>
    </xf>
    <xf numFmtId="0" fontId="0" fillId="0" borderId="0" xfId="68" applyAlignment="1">
      <alignment vertical="center"/>
      <protection/>
    </xf>
    <xf numFmtId="0" fontId="0" fillId="0" borderId="0" xfId="68" applyNumberFormat="1" applyAlignment="1">
      <alignment vertical="center"/>
      <protection/>
    </xf>
    <xf numFmtId="0" fontId="0" fillId="0" borderId="0" xfId="68" applyFont="1" applyAlignment="1">
      <alignment horizontal="center" vertical="center"/>
      <protection/>
    </xf>
    <xf numFmtId="180" fontId="10" fillId="0" borderId="103" xfId="0" applyNumberFormat="1" applyFont="1" applyFill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horizontal="left" vertical="center"/>
      <protection/>
    </xf>
    <xf numFmtId="17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8" xfId="0" applyNumberFormat="1" applyFont="1" applyFill="1" applyBorder="1" applyAlignment="1" applyProtection="1">
      <alignment horizontal="left" vertical="center" shrinkToFit="1"/>
      <protection/>
    </xf>
    <xf numFmtId="180" fontId="5" fillId="0" borderId="48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48" xfId="0" applyNumberFormat="1" applyFont="1" applyFill="1" applyBorder="1" applyAlignment="1" applyProtection="1">
      <alignment horizontal="right" vertical="center" shrinkToFit="1"/>
      <protection locked="0"/>
    </xf>
    <xf numFmtId="185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85" fontId="5" fillId="0" borderId="76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16" xfId="0" applyNumberFormat="1" applyFont="1" applyFill="1" applyBorder="1" applyAlignment="1" applyProtection="1">
      <alignment vertical="center" shrinkToFit="1"/>
      <protection locked="0"/>
    </xf>
    <xf numFmtId="179" fontId="5" fillId="0" borderId="48" xfId="0" applyNumberFormat="1" applyFont="1" applyFill="1" applyBorder="1" applyAlignment="1" applyProtection="1">
      <alignment horizontal="right" vertical="center" shrinkToFit="1"/>
      <protection/>
    </xf>
    <xf numFmtId="180" fontId="5" fillId="0" borderId="107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16" xfId="0" applyNumberFormat="1" applyFont="1" applyFill="1" applyBorder="1" applyAlignment="1" applyProtection="1" quotePrefix="1">
      <alignment horizontal="left" vertical="center" shrinkToFit="1"/>
      <protection locked="0"/>
    </xf>
    <xf numFmtId="180" fontId="5" fillId="0" borderId="0" xfId="0" applyNumberFormat="1" applyFont="1" applyFill="1" applyBorder="1" applyAlignment="1" applyProtection="1">
      <alignment horizontal="right" vertical="center" shrinkToFit="1"/>
      <protection/>
    </xf>
    <xf numFmtId="185" fontId="5" fillId="0" borderId="16" xfId="0" applyNumberFormat="1" applyFont="1" applyFill="1" applyBorder="1" applyAlignment="1" applyProtection="1">
      <alignment vertical="center" shrinkToFit="1"/>
      <protection/>
    </xf>
    <xf numFmtId="180" fontId="5" fillId="0" borderId="48" xfId="0" applyNumberFormat="1" applyFont="1" applyFill="1" applyBorder="1" applyAlignment="1" applyProtection="1">
      <alignment vertical="center" shrinkToFit="1"/>
      <protection/>
    </xf>
    <xf numFmtId="180" fontId="5" fillId="0" borderId="48" xfId="0" applyNumberFormat="1" applyFont="1" applyFill="1" applyBorder="1" applyAlignment="1" applyProtection="1">
      <alignment horizontal="right" vertical="center" shrinkToFit="1"/>
      <protection/>
    </xf>
    <xf numFmtId="179" fontId="5" fillId="0" borderId="19" xfId="0" applyNumberFormat="1" applyFont="1" applyFill="1" applyBorder="1" applyAlignment="1" applyProtection="1">
      <alignment vertical="center" shrinkToFit="1"/>
      <protection locked="0"/>
    </xf>
    <xf numFmtId="180" fontId="5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179" fontId="5" fillId="0" borderId="10" xfId="0" applyNumberFormat="1" applyFont="1" applyFill="1" applyBorder="1" applyAlignment="1" applyProtection="1">
      <alignment horizontal="right" vertical="center" shrinkToFit="1"/>
      <protection/>
    </xf>
    <xf numFmtId="179" fontId="5" fillId="0" borderId="49" xfId="0" applyNumberFormat="1" applyFont="1" applyFill="1" applyBorder="1" applyAlignment="1" applyProtection="1">
      <alignment horizontal="right" vertical="center" shrinkToFit="1"/>
      <protection/>
    </xf>
    <xf numFmtId="180" fontId="5" fillId="0" borderId="49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49" xfId="0" applyNumberFormat="1" applyFont="1" applyFill="1" applyBorder="1" applyAlignment="1" applyProtection="1">
      <alignment horizontal="right" vertical="center" shrinkToFit="1"/>
      <protection locked="0"/>
    </xf>
    <xf numFmtId="185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49" xfId="0" applyNumberFormat="1" applyFont="1" applyFill="1" applyBorder="1" applyAlignment="1" applyProtection="1">
      <alignment vertical="center" shrinkToFit="1"/>
      <protection locked="0"/>
    </xf>
    <xf numFmtId="185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0" xfId="0" applyNumberFormat="1" applyFont="1" applyFill="1" applyBorder="1" applyAlignment="1" applyProtection="1">
      <alignment vertical="center" shrinkToFit="1"/>
      <protection locked="0"/>
    </xf>
    <xf numFmtId="180" fontId="5" fillId="0" borderId="128" xfId="0" applyNumberFormat="1" applyFont="1" applyFill="1" applyBorder="1" applyAlignment="1" applyProtection="1">
      <alignment horizontal="right" vertical="center" shrinkToFit="1"/>
      <protection locked="0"/>
    </xf>
    <xf numFmtId="180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80" fontId="5" fillId="0" borderId="10" xfId="0" applyNumberFormat="1" applyFont="1" applyFill="1" applyBorder="1" applyAlignment="1" applyProtection="1">
      <alignment horizontal="center" vertical="center" shrinkToFit="1"/>
      <protection/>
    </xf>
    <xf numFmtId="180" fontId="5" fillId="0" borderId="129" xfId="0" applyNumberFormat="1" applyFont="1" applyFill="1" applyBorder="1" applyAlignment="1" applyProtection="1">
      <alignment horizontal="right" vertical="center" shrinkToFit="1"/>
      <protection locked="0"/>
    </xf>
    <xf numFmtId="185" fontId="5" fillId="0" borderId="10" xfId="0" applyNumberFormat="1" applyFont="1" applyFill="1" applyBorder="1" applyAlignment="1" applyProtection="1">
      <alignment vertical="center" shrinkToFit="1"/>
      <protection/>
    </xf>
    <xf numFmtId="180" fontId="5" fillId="0" borderId="49" xfId="0" applyNumberFormat="1" applyFont="1" applyFill="1" applyBorder="1" applyAlignment="1" applyProtection="1">
      <alignment vertical="center" shrinkToFit="1"/>
      <protection/>
    </xf>
    <xf numFmtId="180" fontId="5" fillId="0" borderId="49" xfId="0" applyNumberFormat="1" applyFont="1" applyFill="1" applyBorder="1" applyAlignment="1" applyProtection="1">
      <alignment horizontal="right" vertical="center" shrinkToFit="1"/>
      <protection/>
    </xf>
    <xf numFmtId="179" fontId="5" fillId="0" borderId="28" xfId="0" applyNumberFormat="1" applyFont="1" applyFill="1" applyBorder="1" applyAlignment="1" applyProtection="1">
      <alignment vertical="center" shrinkToFit="1"/>
      <protection locked="0"/>
    </xf>
    <xf numFmtId="178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16" xfId="0" applyNumberFormat="1" applyFont="1" applyFill="1" applyBorder="1" applyAlignment="1" applyProtection="1">
      <alignment horizontal="center" vertical="center" shrinkToFit="1"/>
      <protection/>
    </xf>
    <xf numFmtId="179" fontId="5" fillId="0" borderId="91" xfId="0" applyNumberFormat="1" applyFont="1" applyFill="1" applyBorder="1" applyAlignment="1" applyProtection="1">
      <alignment horizontal="right" vertical="center" shrinkToFit="1"/>
      <protection/>
    </xf>
    <xf numFmtId="180" fontId="5" fillId="0" borderId="0" xfId="0" applyNumberFormat="1" applyFont="1" applyFill="1" applyAlignment="1" applyProtection="1">
      <alignment horizontal="right" vertical="center" shrinkToFit="1"/>
      <protection/>
    </xf>
    <xf numFmtId="180" fontId="5" fillId="0" borderId="107" xfId="0" applyNumberFormat="1" applyFont="1" applyFill="1" applyBorder="1" applyAlignment="1" applyProtection="1">
      <alignment horizontal="right" vertical="center" shrinkToFit="1"/>
      <protection locked="0"/>
    </xf>
    <xf numFmtId="180" fontId="5" fillId="0" borderId="16" xfId="0" applyNumberFormat="1" applyFont="1" applyFill="1" applyBorder="1" applyAlignment="1" applyProtection="1">
      <alignment horizontal="center" vertical="center" shrinkToFit="1"/>
      <protection/>
    </xf>
    <xf numFmtId="180" fontId="5" fillId="0" borderId="130" xfId="0" applyNumberFormat="1" applyFont="1" applyFill="1" applyBorder="1" applyAlignment="1" applyProtection="1">
      <alignment horizontal="right" vertical="center" shrinkToFit="1"/>
      <protection locked="0"/>
    </xf>
    <xf numFmtId="180" fontId="5" fillId="0" borderId="52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52" xfId="0" applyNumberFormat="1" applyFont="1" applyFill="1" applyBorder="1" applyAlignment="1" applyProtection="1">
      <alignment horizontal="right" vertical="center" shrinkToFit="1"/>
      <protection locked="0"/>
    </xf>
    <xf numFmtId="185" fontId="5" fillId="0" borderId="53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53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53" xfId="0" applyNumberFormat="1" applyFont="1" applyFill="1" applyBorder="1" applyAlignment="1" applyProtection="1">
      <alignment vertical="center" shrinkToFit="1"/>
      <protection locked="0"/>
    </xf>
    <xf numFmtId="180" fontId="5" fillId="0" borderId="81" xfId="0" applyNumberFormat="1" applyFont="1" applyFill="1" applyBorder="1" applyAlignment="1" applyProtection="1">
      <alignment horizontal="right" vertical="center" shrinkToFit="1"/>
      <protection/>
    </xf>
    <xf numFmtId="179" fontId="5" fillId="0" borderId="52" xfId="0" applyNumberFormat="1" applyFont="1" applyFill="1" applyBorder="1" applyAlignment="1" applyProtection="1">
      <alignment horizontal="right" vertical="center" shrinkToFit="1"/>
      <protection/>
    </xf>
    <xf numFmtId="180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53" xfId="0" applyNumberFormat="1" applyFont="1" applyFill="1" applyBorder="1" applyAlignment="1" applyProtection="1" quotePrefix="1">
      <alignment horizontal="left" vertical="center" shrinkToFit="1"/>
      <protection locked="0"/>
    </xf>
    <xf numFmtId="180" fontId="5" fillId="0" borderId="68" xfId="0" applyNumberFormat="1" applyFont="1" applyFill="1" applyBorder="1" applyAlignment="1" applyProtection="1">
      <alignment horizontal="right" vertical="center" shrinkToFit="1"/>
      <protection/>
    </xf>
    <xf numFmtId="185" fontId="5" fillId="0" borderId="53" xfId="0" applyNumberFormat="1" applyFont="1" applyFill="1" applyBorder="1" applyAlignment="1" applyProtection="1">
      <alignment vertical="center" shrinkToFit="1"/>
      <protection/>
    </xf>
    <xf numFmtId="180" fontId="5" fillId="0" borderId="52" xfId="0" applyNumberFormat="1" applyFont="1" applyFill="1" applyBorder="1" applyAlignment="1" applyProtection="1">
      <alignment vertical="center" shrinkToFit="1"/>
      <protection/>
    </xf>
    <xf numFmtId="180" fontId="5" fillId="0" borderId="52" xfId="0" applyNumberFormat="1" applyFont="1" applyFill="1" applyBorder="1" applyAlignment="1" applyProtection="1">
      <alignment horizontal="right" vertical="center" shrinkToFit="1"/>
      <protection/>
    </xf>
    <xf numFmtId="179" fontId="5" fillId="0" borderId="83" xfId="0" applyNumberFormat="1" applyFont="1" applyFill="1" applyBorder="1" applyAlignment="1" applyProtection="1">
      <alignment vertical="center" shrinkToFit="1"/>
      <protection locked="0"/>
    </xf>
    <xf numFmtId="178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92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79" xfId="0" applyNumberFormat="1" applyFont="1" applyFill="1" applyBorder="1" applyAlignment="1" applyProtection="1">
      <alignment horizontal="right" vertical="center" shrinkToFit="1"/>
      <protection locked="0"/>
    </xf>
    <xf numFmtId="180" fontId="5" fillId="0" borderId="69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17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80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68" xfId="0" applyNumberFormat="1" applyFont="1" applyFill="1" applyBorder="1" applyAlignment="1" applyProtection="1">
      <alignment horizontal="right" vertical="center" shrinkToFit="1"/>
      <protection locked="0"/>
    </xf>
    <xf numFmtId="180" fontId="5" fillId="0" borderId="78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10" xfId="0" applyNumberFormat="1" applyFont="1" applyFill="1" applyBorder="1" applyAlignment="1" applyProtection="1" quotePrefix="1">
      <alignment horizontal="right" vertical="center" shrinkToFit="1"/>
      <protection locked="0"/>
    </xf>
    <xf numFmtId="185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80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9" xfId="0" applyNumberFormat="1" applyFont="1" applyFill="1" applyBorder="1" applyAlignment="1" applyProtection="1">
      <alignment horizontal="center" vertical="center" shrinkToFit="1"/>
      <protection/>
    </xf>
    <xf numFmtId="185" fontId="5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185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67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49" xfId="0" applyNumberFormat="1" applyFont="1" applyFill="1" applyBorder="1" applyAlignment="1" applyProtection="1">
      <alignment horizontal="right" vertical="center" shrinkToFit="1"/>
      <protection locked="0"/>
    </xf>
    <xf numFmtId="185" fontId="5" fillId="0" borderId="49" xfId="0" applyNumberFormat="1" applyFont="1" applyFill="1" applyBorder="1" applyAlignment="1" applyProtection="1">
      <alignment horizontal="right" vertical="center" shrinkToFit="1"/>
      <protection locked="0"/>
    </xf>
    <xf numFmtId="185" fontId="5" fillId="0" borderId="128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131" xfId="0" applyNumberFormat="1" applyFont="1" applyFill="1" applyBorder="1" applyAlignment="1" applyProtection="1">
      <alignment horizontal="right" vertical="center" shrinkToFit="1"/>
      <protection locked="0"/>
    </xf>
    <xf numFmtId="185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20" fillId="0" borderId="43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32" xfId="0" applyNumberFormat="1" applyFont="1" applyFill="1" applyBorder="1" applyAlignment="1" applyProtection="1">
      <alignment vertical="center" shrinkToFit="1"/>
      <protection locked="0"/>
    </xf>
    <xf numFmtId="185" fontId="5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80" fontId="5" fillId="0" borderId="133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78" xfId="0" applyNumberFormat="1" applyFont="1" applyFill="1" applyBorder="1" applyAlignment="1" applyProtection="1">
      <alignment horizontal="center" vertical="center" shrinkToFit="1"/>
      <protection/>
    </xf>
    <xf numFmtId="178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133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134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68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180" fontId="5" fillId="0" borderId="49" xfId="0" applyNumberFormat="1" applyFont="1" applyFill="1" applyBorder="1" applyAlignment="1" applyProtection="1">
      <alignment horizontal="left" vertical="center" shrinkToFit="1"/>
      <protection locked="0"/>
    </xf>
    <xf numFmtId="179" fontId="5" fillId="0" borderId="13" xfId="0" applyNumberFormat="1" applyFont="1" applyFill="1" applyBorder="1" applyAlignment="1" applyProtection="1">
      <alignment vertical="center" shrinkToFit="1"/>
      <protection/>
    </xf>
    <xf numFmtId="179" fontId="5" fillId="0" borderId="74" xfId="0" applyNumberFormat="1" applyFont="1" applyFill="1" applyBorder="1" applyAlignment="1" applyProtection="1">
      <alignment vertical="center" shrinkToFit="1"/>
      <protection/>
    </xf>
    <xf numFmtId="180" fontId="5" fillId="0" borderId="107" xfId="0" applyNumberFormat="1" applyFont="1" applyFill="1" applyBorder="1" applyAlignment="1" applyProtection="1">
      <alignment horizontal="right" vertical="center" shrinkToFit="1"/>
      <protection/>
    </xf>
    <xf numFmtId="180" fontId="5" fillId="0" borderId="16" xfId="0" applyNumberFormat="1" applyFont="1" applyFill="1" applyBorder="1" applyAlignment="1" applyProtection="1">
      <alignment vertical="center" shrinkToFit="1"/>
      <protection/>
    </xf>
    <xf numFmtId="179" fontId="5" fillId="0" borderId="16" xfId="0" applyNumberFormat="1" applyFont="1" applyFill="1" applyBorder="1" applyAlignment="1" applyProtection="1">
      <alignment vertical="center" shrinkToFit="1"/>
      <protection/>
    </xf>
    <xf numFmtId="179" fontId="5" fillId="0" borderId="19" xfId="0" applyNumberFormat="1" applyFont="1" applyFill="1" applyBorder="1" applyAlignment="1" applyProtection="1">
      <alignment vertical="center" shrinkToFit="1"/>
      <protection/>
    </xf>
    <xf numFmtId="179" fontId="5" fillId="0" borderId="13" xfId="0" applyNumberFormat="1" applyFont="1" applyFill="1" applyBorder="1" applyAlignment="1" applyProtection="1">
      <alignment horizontal="center" vertical="center" shrinkToFit="1"/>
      <protection/>
    </xf>
    <xf numFmtId="180" fontId="5" fillId="0" borderId="16" xfId="0" applyNumberFormat="1" applyFont="1" applyFill="1" applyBorder="1" applyAlignment="1" applyProtection="1">
      <alignment horizontal="right" vertical="center" shrinkToFit="1"/>
      <protection/>
    </xf>
    <xf numFmtId="180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5" fillId="0" borderId="48" xfId="0" applyNumberFormat="1" applyFont="1" applyFill="1" applyBorder="1" applyAlignment="1" applyProtection="1">
      <alignment vertical="center" shrinkToFit="1"/>
      <protection locked="0"/>
    </xf>
    <xf numFmtId="179" fontId="5" fillId="0" borderId="13" xfId="0" applyNumberFormat="1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 quotePrefix="1">
      <alignment horizontal="right" vertical="center" shrinkToFit="1"/>
      <protection/>
    </xf>
    <xf numFmtId="49" fontId="5" fillId="0" borderId="16" xfId="0" applyNumberFormat="1" applyFont="1" applyBorder="1" applyAlignment="1" applyProtection="1" quotePrefix="1">
      <alignment horizontal="right" vertical="center" shrinkToFit="1"/>
      <protection/>
    </xf>
    <xf numFmtId="0" fontId="5" fillId="0" borderId="48" xfId="0" applyFont="1" applyBorder="1" applyAlignment="1" applyProtection="1" quotePrefix="1">
      <alignment horizontal="right" vertical="center" shrinkToFit="1"/>
      <protection/>
    </xf>
    <xf numFmtId="176" fontId="5" fillId="0" borderId="74" xfId="0" applyNumberFormat="1" applyFont="1" applyBorder="1" applyAlignment="1" applyProtection="1">
      <alignment vertical="center" shrinkToFit="1"/>
      <protection/>
    </xf>
    <xf numFmtId="180" fontId="5" fillId="0" borderId="135" xfId="0" applyNumberFormat="1" applyFont="1" applyBorder="1" applyAlignment="1" applyProtection="1">
      <alignment vertical="center" shrinkToFit="1"/>
      <protection/>
    </xf>
    <xf numFmtId="179" fontId="5" fillId="0" borderId="0" xfId="0" applyNumberFormat="1" applyFont="1" applyBorder="1" applyAlignment="1" applyProtection="1" quotePrefix="1">
      <alignment horizontal="right" vertical="center" shrinkToFit="1"/>
      <protection/>
    </xf>
    <xf numFmtId="0" fontId="5" fillId="0" borderId="16" xfId="0" applyFont="1" applyBorder="1" applyAlignment="1" applyProtection="1">
      <alignment vertical="center" shrinkToFit="1"/>
      <protection/>
    </xf>
    <xf numFmtId="180" fontId="5" fillId="0" borderId="75" xfId="0" applyNumberFormat="1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 quotePrefix="1">
      <alignment horizontal="right" vertical="center" shrinkToFit="1"/>
      <protection/>
    </xf>
    <xf numFmtId="180" fontId="5" fillId="0" borderId="48" xfId="0" applyNumberFormat="1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179" fontId="5" fillId="0" borderId="74" xfId="0" applyNumberFormat="1" applyFont="1" applyBorder="1" applyAlignment="1" applyProtection="1">
      <alignment vertical="center" shrinkToFit="1"/>
      <protection locked="0"/>
    </xf>
    <xf numFmtId="179" fontId="5" fillId="0" borderId="16" xfId="0" applyNumberFormat="1" applyFont="1" applyBorder="1" applyAlignment="1" applyProtection="1">
      <alignment horizontal="center" vertical="center" shrinkToFit="1"/>
      <protection/>
    </xf>
    <xf numFmtId="179" fontId="5" fillId="0" borderId="48" xfId="0" applyNumberFormat="1" applyFont="1" applyBorder="1" applyAlignment="1" applyProtection="1">
      <alignment horizontal="right" vertical="center" shrinkToFit="1"/>
      <protection/>
    </xf>
    <xf numFmtId="179" fontId="5" fillId="0" borderId="136" xfId="0" applyNumberFormat="1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>
      <alignment horizontal="center" vertical="center" shrinkToFit="1"/>
    </xf>
    <xf numFmtId="178" fontId="5" fillId="0" borderId="16" xfId="0" applyNumberFormat="1" applyFont="1" applyBorder="1" applyAlignment="1" applyProtection="1">
      <alignment horizontal="right" vertical="center" shrinkToFit="1"/>
      <protection locked="0"/>
    </xf>
    <xf numFmtId="178" fontId="5" fillId="0" borderId="16" xfId="0" applyNumberFormat="1" applyFont="1" applyBorder="1" applyAlignment="1" applyProtection="1">
      <alignment horizontal="right" vertical="center" shrinkToFit="1"/>
      <protection/>
    </xf>
    <xf numFmtId="178" fontId="5" fillId="0" borderId="48" xfId="0" applyNumberFormat="1" applyFont="1" applyBorder="1" applyAlignment="1" applyProtection="1">
      <alignment horizontal="right" vertical="center" shrinkToFit="1"/>
      <protection/>
    </xf>
    <xf numFmtId="179" fontId="5" fillId="0" borderId="74" xfId="0" applyNumberFormat="1" applyFont="1" applyBorder="1" applyAlignment="1" applyProtection="1">
      <alignment horizontal="center" vertical="center" shrinkToFit="1"/>
      <protection/>
    </xf>
    <xf numFmtId="180" fontId="5" fillId="0" borderId="75" xfId="0" applyNumberFormat="1" applyFont="1" applyBorder="1" applyAlignment="1" applyProtection="1">
      <alignment horizontal="right" vertical="center" shrinkToFit="1"/>
      <protection locked="0"/>
    </xf>
    <xf numFmtId="179" fontId="5" fillId="0" borderId="0" xfId="0" applyNumberFormat="1" applyFont="1" applyBorder="1" applyAlignment="1" applyProtection="1">
      <alignment vertical="center" shrinkToFit="1"/>
      <protection locked="0"/>
    </xf>
    <xf numFmtId="179" fontId="5" fillId="0" borderId="16" xfId="0" applyNumberFormat="1" applyFont="1" applyBorder="1" applyAlignment="1" applyProtection="1">
      <alignment vertical="center" shrinkToFit="1"/>
      <protection locked="0"/>
    </xf>
    <xf numFmtId="179" fontId="5" fillId="0" borderId="16" xfId="0" applyNumberFormat="1" applyFont="1" applyBorder="1" applyAlignment="1" applyProtection="1">
      <alignment horizontal="center" vertical="center" shrinkToFit="1"/>
      <protection locked="0"/>
    </xf>
    <xf numFmtId="179" fontId="5" fillId="0" borderId="48" xfId="0" applyNumberFormat="1" applyFont="1" applyBorder="1" applyAlignment="1" applyProtection="1">
      <alignment vertical="center" shrinkToFit="1"/>
      <protection locked="0"/>
    </xf>
    <xf numFmtId="179" fontId="5" fillId="0" borderId="48" xfId="0" applyNumberFormat="1" applyFont="1" applyBorder="1" applyAlignment="1" applyProtection="1">
      <alignment horizontal="right" vertical="center" shrinkToFit="1"/>
      <protection locked="0"/>
    </xf>
    <xf numFmtId="179" fontId="5" fillId="0" borderId="74" xfId="0" applyNumberFormat="1" applyFont="1" applyBorder="1" applyAlignment="1" applyProtection="1">
      <alignment horizontal="center" vertical="center" shrinkToFit="1"/>
      <protection locked="0"/>
    </xf>
    <xf numFmtId="180" fontId="5" fillId="0" borderId="48" xfId="0" applyNumberFormat="1" applyFont="1" applyBorder="1" applyAlignment="1" applyProtection="1">
      <alignment vertical="center" shrinkToFit="1"/>
      <protection locked="0"/>
    </xf>
    <xf numFmtId="179" fontId="5" fillId="0" borderId="48" xfId="0" applyNumberFormat="1" applyFont="1" applyBorder="1" applyAlignment="1" applyProtection="1">
      <alignment vertical="center" shrinkToFit="1"/>
      <protection/>
    </xf>
    <xf numFmtId="179" fontId="5" fillId="0" borderId="19" xfId="0" applyNumberFormat="1" applyFont="1" applyBorder="1" applyAlignment="1" applyProtection="1">
      <alignment horizontal="center" vertical="center" shrinkToFit="1"/>
      <protection locked="0"/>
    </xf>
    <xf numFmtId="56" fontId="5" fillId="0" borderId="61" xfId="0" applyNumberFormat="1" applyFont="1" applyBorder="1" applyAlignment="1" quotePrefix="1">
      <alignment horizontal="center" vertical="center" shrinkToFit="1"/>
    </xf>
    <xf numFmtId="180" fontId="5" fillId="0" borderId="74" xfId="0" applyNumberFormat="1" applyFont="1" applyBorder="1" applyAlignment="1" applyProtection="1">
      <alignment horizontal="center" vertical="center" shrinkToFit="1"/>
      <protection/>
    </xf>
    <xf numFmtId="180" fontId="5" fillId="0" borderId="16" xfId="0" applyNumberFormat="1" applyFont="1" applyBorder="1" applyAlignment="1" applyProtection="1">
      <alignment horizontal="center" vertical="center" shrinkToFit="1"/>
      <protection/>
    </xf>
    <xf numFmtId="185" fontId="5" fillId="0" borderId="48" xfId="0" applyNumberFormat="1" applyFont="1" applyBorder="1" applyAlignment="1" applyProtection="1">
      <alignment horizontal="right" vertical="center" shrinkToFit="1"/>
      <protection/>
    </xf>
    <xf numFmtId="0" fontId="5" fillId="0" borderId="112" xfId="0" applyFont="1" applyBorder="1" applyAlignment="1">
      <alignment horizontal="center" vertical="center" shrinkToFit="1"/>
    </xf>
    <xf numFmtId="178" fontId="5" fillId="0" borderId="53" xfId="0" applyNumberFormat="1" applyFont="1" applyBorder="1" applyAlignment="1" applyProtection="1">
      <alignment horizontal="right" vertical="center" shrinkToFit="1"/>
      <protection locked="0"/>
    </xf>
    <xf numFmtId="49" fontId="5" fillId="0" borderId="53" xfId="0" applyNumberFormat="1" applyFont="1" applyBorder="1" applyAlignment="1" applyProtection="1">
      <alignment horizontal="center" vertical="center" shrinkToFit="1"/>
      <protection locked="0"/>
    </xf>
    <xf numFmtId="178" fontId="5" fillId="0" borderId="53" xfId="0" applyNumberFormat="1" applyFont="1" applyBorder="1" applyAlignment="1" applyProtection="1">
      <alignment horizontal="right" vertical="center" shrinkToFit="1"/>
      <protection/>
    </xf>
    <xf numFmtId="178" fontId="5" fillId="0" borderId="52" xfId="0" applyNumberFormat="1" applyFont="1" applyBorder="1" applyAlignment="1" applyProtection="1">
      <alignment horizontal="right" vertical="center" shrinkToFit="1"/>
      <protection/>
    </xf>
    <xf numFmtId="179" fontId="5" fillId="0" borderId="85" xfId="0" applyNumberFormat="1" applyFont="1" applyBorder="1" applyAlignment="1" applyProtection="1">
      <alignment horizontal="center" vertical="center" shrinkToFit="1"/>
      <protection/>
    </xf>
    <xf numFmtId="180" fontId="5" fillId="0" borderId="81" xfId="0" applyNumberFormat="1" applyFont="1" applyBorder="1" applyAlignment="1" applyProtection="1">
      <alignment horizontal="right" vertical="center" shrinkToFit="1"/>
      <protection locked="0"/>
    </xf>
    <xf numFmtId="179" fontId="5" fillId="0" borderId="68" xfId="0" applyNumberFormat="1" applyFont="1" applyBorder="1" applyAlignment="1" applyProtection="1">
      <alignment vertical="center" shrinkToFit="1"/>
      <protection locked="0"/>
    </xf>
    <xf numFmtId="179" fontId="5" fillId="0" borderId="53" xfId="0" applyNumberFormat="1" applyFont="1" applyBorder="1" applyAlignment="1" applyProtection="1">
      <alignment vertical="center" shrinkToFit="1"/>
      <protection locked="0"/>
    </xf>
    <xf numFmtId="179" fontId="5" fillId="0" borderId="53" xfId="0" applyNumberFormat="1" applyFont="1" applyBorder="1" applyAlignment="1" applyProtection="1">
      <alignment horizontal="center" vertical="center" shrinkToFit="1"/>
      <protection locked="0"/>
    </xf>
    <xf numFmtId="180" fontId="5" fillId="0" borderId="52" xfId="0" applyNumberFormat="1" applyFont="1" applyBorder="1" applyAlignment="1" applyProtection="1">
      <alignment horizontal="right" vertical="center" shrinkToFit="1"/>
      <protection locked="0"/>
    </xf>
    <xf numFmtId="179" fontId="5" fillId="0" borderId="52" xfId="0" applyNumberFormat="1" applyFont="1" applyBorder="1" applyAlignment="1" applyProtection="1">
      <alignment vertical="center" shrinkToFit="1"/>
      <protection locked="0"/>
    </xf>
    <xf numFmtId="179" fontId="5" fillId="0" borderId="52" xfId="0" applyNumberFormat="1" applyFont="1" applyBorder="1" applyAlignment="1" applyProtection="1">
      <alignment horizontal="right" vertical="center" shrinkToFit="1"/>
      <protection locked="0"/>
    </xf>
    <xf numFmtId="179" fontId="5" fillId="0" borderId="85" xfId="0" applyNumberFormat="1" applyFont="1" applyBorder="1" applyAlignment="1" applyProtection="1">
      <alignment horizontal="center" vertical="center" shrinkToFit="1"/>
      <protection locked="0"/>
    </xf>
    <xf numFmtId="179" fontId="5" fillId="0" borderId="53" xfId="0" applyNumberFormat="1" applyFont="1" applyBorder="1" applyAlignment="1" applyProtection="1">
      <alignment horizontal="center" vertical="center" shrinkToFit="1"/>
      <protection/>
    </xf>
    <xf numFmtId="180" fontId="5" fillId="0" borderId="52" xfId="0" applyNumberFormat="1" applyFont="1" applyBorder="1" applyAlignment="1" applyProtection="1">
      <alignment vertical="center" shrinkToFit="1"/>
      <protection locked="0"/>
    </xf>
    <xf numFmtId="179" fontId="5" fillId="0" borderId="52" xfId="0" applyNumberFormat="1" applyFont="1" applyBorder="1" applyAlignment="1" applyProtection="1">
      <alignment vertical="center" shrinkToFit="1"/>
      <protection/>
    </xf>
    <xf numFmtId="180" fontId="5" fillId="0" borderId="52" xfId="0" applyNumberFormat="1" applyFont="1" applyBorder="1" applyAlignment="1" applyProtection="1">
      <alignment vertical="center" shrinkToFit="1"/>
      <protection/>
    </xf>
    <xf numFmtId="179" fontId="5" fillId="0" borderId="83" xfId="0" applyNumberFormat="1" applyFont="1" applyBorder="1" applyAlignment="1" applyProtection="1">
      <alignment horizontal="center" vertical="center" shrinkToFit="1"/>
      <protection locked="0"/>
    </xf>
    <xf numFmtId="56" fontId="5" fillId="0" borderId="78" xfId="0" applyNumberFormat="1" applyFont="1" applyBorder="1" applyAlignment="1" quotePrefix="1">
      <alignment horizontal="center" vertical="center" shrinkToFit="1"/>
    </xf>
    <xf numFmtId="179" fontId="5" fillId="0" borderId="49" xfId="0" applyNumberFormat="1" applyFont="1" applyBorder="1" applyAlignment="1" applyProtection="1">
      <alignment horizontal="right" vertical="center" shrinkToFit="1"/>
      <protection/>
    </xf>
    <xf numFmtId="179" fontId="5" fillId="0" borderId="10" xfId="0" applyNumberFormat="1" applyFont="1" applyBorder="1" applyAlignment="1" applyProtection="1">
      <alignment horizontal="center" vertical="center" shrinkToFit="1"/>
      <protection/>
    </xf>
    <xf numFmtId="180" fontId="5" fillId="0" borderId="49" xfId="0" applyNumberFormat="1" applyFont="1" applyBorder="1" applyAlignment="1" applyProtection="1">
      <alignment vertical="center" shrinkToFit="1"/>
      <protection locked="0"/>
    </xf>
    <xf numFmtId="179" fontId="5" fillId="0" borderId="49" xfId="0" applyNumberFormat="1" applyFont="1" applyBorder="1" applyAlignment="1" applyProtection="1">
      <alignment vertical="center" shrinkToFit="1"/>
      <protection/>
    </xf>
    <xf numFmtId="180" fontId="5" fillId="0" borderId="10" xfId="0" applyNumberFormat="1" applyFont="1" applyBorder="1" applyAlignment="1" applyProtection="1">
      <alignment horizontal="center" vertical="center" shrinkToFit="1"/>
      <protection/>
    </xf>
    <xf numFmtId="180" fontId="5" fillId="0" borderId="49" xfId="0" applyNumberFormat="1" applyFont="1" applyBorder="1" applyAlignment="1" applyProtection="1">
      <alignment vertical="center" shrinkToFit="1"/>
      <protection/>
    </xf>
    <xf numFmtId="185" fontId="5" fillId="0" borderId="49" xfId="0" applyNumberFormat="1" applyFont="1" applyBorder="1" applyAlignment="1" applyProtection="1">
      <alignment horizontal="right" vertical="center" shrinkToFit="1"/>
      <protection/>
    </xf>
    <xf numFmtId="179" fontId="5" fillId="0" borderId="28" xfId="0" applyNumberFormat="1" applyFont="1" applyBorder="1" applyAlignment="1" applyProtection="1">
      <alignment horizontal="center" vertical="center" shrinkToFit="1"/>
      <protection locked="0"/>
    </xf>
    <xf numFmtId="180" fontId="5" fillId="0" borderId="85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178" fontId="5" fillId="0" borderId="10" xfId="0" applyNumberFormat="1" applyFont="1" applyBorder="1" applyAlignment="1" applyProtection="1">
      <alignment horizontal="right" vertical="center" shrinkToFit="1"/>
      <protection/>
    </xf>
    <xf numFmtId="178" fontId="5" fillId="0" borderId="49" xfId="0" applyNumberFormat="1" applyFont="1" applyBorder="1" applyAlignment="1" applyProtection="1">
      <alignment horizontal="right" vertical="center" shrinkToFit="1"/>
      <protection/>
    </xf>
    <xf numFmtId="180" fontId="5" fillId="0" borderId="32" xfId="0" applyNumberFormat="1" applyFont="1" applyBorder="1" applyAlignment="1" applyProtection="1">
      <alignment horizontal="center" vertical="center" shrinkToFit="1"/>
      <protection/>
    </xf>
    <xf numFmtId="179" fontId="5" fillId="0" borderId="11" xfId="0" applyNumberFormat="1" applyFont="1" applyBorder="1" applyAlignment="1" applyProtection="1">
      <alignment vertical="center" shrinkToFit="1"/>
      <protection locked="0"/>
    </xf>
    <xf numFmtId="180" fontId="5" fillId="0" borderId="10" xfId="0" applyNumberFormat="1" applyFont="1" applyBorder="1" applyAlignment="1" applyProtection="1">
      <alignment horizontal="center" vertical="center" shrinkToFit="1"/>
      <protection locked="0"/>
    </xf>
    <xf numFmtId="179" fontId="5" fillId="0" borderId="49" xfId="0" applyNumberFormat="1" applyFont="1" applyBorder="1" applyAlignment="1" applyProtection="1">
      <alignment vertical="center" shrinkToFit="1"/>
      <protection locked="0"/>
    </xf>
    <xf numFmtId="179" fontId="5" fillId="0" borderId="10" xfId="0" applyNumberFormat="1" applyFont="1" applyBorder="1" applyAlignment="1" applyProtection="1">
      <alignment horizontal="center" vertical="center" shrinkToFit="1"/>
      <protection locked="0"/>
    </xf>
    <xf numFmtId="179" fontId="5" fillId="0" borderId="49" xfId="0" applyNumberFormat="1" applyFont="1" applyBorder="1" applyAlignment="1" applyProtection="1">
      <alignment horizontal="right" vertical="center" shrinkToFit="1"/>
      <protection locked="0"/>
    </xf>
    <xf numFmtId="180" fontId="5" fillId="0" borderId="53" xfId="0" applyNumberFormat="1" applyFont="1" applyBorder="1" applyAlignment="1" applyProtection="1">
      <alignment horizontal="center" vertical="center" shrinkToFit="1"/>
      <protection/>
    </xf>
    <xf numFmtId="185" fontId="5" fillId="0" borderId="112" xfId="0" applyNumberFormat="1" applyFont="1" applyBorder="1" applyAlignment="1" applyProtection="1">
      <alignment horizontal="center" vertical="center" shrinkToFit="1"/>
      <protection locked="0"/>
    </xf>
    <xf numFmtId="178" fontId="5" fillId="0" borderId="81" xfId="0" applyNumberFormat="1" applyFont="1" applyBorder="1" applyAlignment="1" applyProtection="1">
      <alignment horizontal="right" vertical="center" shrinkToFit="1"/>
      <protection/>
    </xf>
    <xf numFmtId="179" fontId="5" fillId="0" borderId="68" xfId="0" applyNumberFormat="1" applyFont="1" applyBorder="1" applyAlignment="1">
      <alignment vertical="center" shrinkToFit="1"/>
    </xf>
    <xf numFmtId="185" fontId="5" fillId="0" borderId="52" xfId="0" applyNumberFormat="1" applyFont="1" applyBorder="1" applyAlignment="1" applyProtection="1">
      <alignment horizontal="right" vertical="center" shrinkToFit="1"/>
      <protection/>
    </xf>
    <xf numFmtId="178" fontId="5" fillId="0" borderId="10" xfId="0" applyNumberFormat="1" applyFont="1" applyBorder="1" applyAlignment="1" applyProtection="1">
      <alignment horizontal="right" vertical="center" shrinkToFit="1"/>
      <protection locked="0"/>
    </xf>
    <xf numFmtId="178" fontId="5" fillId="0" borderId="77" xfId="0" applyNumberFormat="1" applyFont="1" applyBorder="1" applyAlignment="1" applyProtection="1">
      <alignment horizontal="right" vertical="center" shrinkToFit="1"/>
      <protection/>
    </xf>
    <xf numFmtId="185" fontId="5" fillId="0" borderId="32" xfId="0" applyNumberFormat="1" applyFont="1" applyBorder="1" applyAlignment="1" applyProtection="1">
      <alignment horizontal="center" vertical="center" shrinkToFit="1"/>
      <protection/>
    </xf>
    <xf numFmtId="179" fontId="5" fillId="0" borderId="32" xfId="0" applyNumberFormat="1" applyFont="1" applyBorder="1" applyAlignment="1" applyProtection="1">
      <alignment horizontal="center" vertical="center" shrinkToFit="1"/>
      <protection locked="0"/>
    </xf>
    <xf numFmtId="179" fontId="5" fillId="0" borderId="79" xfId="0" applyNumberFormat="1" applyFont="1" applyBorder="1" applyAlignment="1" applyProtection="1">
      <alignment vertical="center" shrinkToFit="1"/>
      <protection/>
    </xf>
    <xf numFmtId="180" fontId="5" fillId="0" borderId="74" xfId="0" applyNumberFormat="1" applyFont="1" applyBorder="1" applyAlignment="1" applyProtection="1">
      <alignment horizontal="center" vertical="center" shrinkToFit="1"/>
      <protection locked="0"/>
    </xf>
    <xf numFmtId="185" fontId="5" fillId="0" borderId="61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178" fontId="5" fillId="0" borderId="75" xfId="0" applyNumberFormat="1" applyFont="1" applyBorder="1" applyAlignment="1" applyProtection="1">
      <alignment horizontal="right" vertical="center" shrinkToFit="1"/>
      <protection/>
    </xf>
    <xf numFmtId="185" fontId="5" fillId="0" borderId="74" xfId="0" applyNumberFormat="1" applyFont="1" applyBorder="1" applyAlignment="1" applyProtection="1" quotePrefix="1">
      <alignment horizontal="center" vertical="center" shrinkToFit="1"/>
      <protection/>
    </xf>
    <xf numFmtId="180" fontId="5" fillId="0" borderId="16" xfId="0" applyNumberFormat="1" applyFont="1" applyBorder="1" applyAlignment="1" applyProtection="1" quotePrefix="1">
      <alignment horizontal="center" vertical="center" shrinkToFit="1"/>
      <protection locked="0"/>
    </xf>
    <xf numFmtId="185" fontId="5" fillId="0" borderId="32" xfId="0" applyNumberFormat="1" applyFont="1" applyBorder="1" applyAlignment="1" applyProtection="1" quotePrefix="1">
      <alignment horizontal="center" vertical="center" shrinkToFit="1"/>
      <protection/>
    </xf>
    <xf numFmtId="180" fontId="5" fillId="0" borderId="77" xfId="0" applyNumberFormat="1" applyFont="1" applyBorder="1" applyAlignment="1" applyProtection="1">
      <alignment vertical="center" shrinkToFit="1"/>
      <protection locked="0"/>
    </xf>
    <xf numFmtId="180" fontId="5" fillId="0" borderId="10" xfId="0" applyNumberFormat="1" applyFont="1" applyBorder="1" applyAlignment="1" applyProtection="1" quotePrefix="1">
      <alignment horizontal="center" vertical="center" shrinkToFit="1"/>
      <protection locked="0"/>
    </xf>
    <xf numFmtId="180" fontId="5" fillId="0" borderId="84" xfId="0" applyNumberFormat="1" applyFont="1" applyBorder="1" applyAlignment="1" applyProtection="1">
      <alignment horizontal="center" vertical="center" shrinkToFit="1"/>
      <protection/>
    </xf>
    <xf numFmtId="185" fontId="5" fillId="0" borderId="49" xfId="0" applyNumberFormat="1" applyFont="1" applyBorder="1" applyAlignment="1" applyProtection="1">
      <alignment horizontal="right" vertical="center" shrinkToFit="1"/>
      <protection locked="0"/>
    </xf>
    <xf numFmtId="179" fontId="5" fillId="0" borderId="137" xfId="0" applyNumberFormat="1" applyFont="1" applyBorder="1" applyAlignment="1" applyProtection="1">
      <alignment vertical="center" shrinkToFit="1"/>
      <protection locked="0"/>
    </xf>
    <xf numFmtId="179" fontId="5" fillId="0" borderId="138" xfId="0" applyNumberFormat="1" applyFont="1" applyBorder="1" applyAlignment="1" applyProtection="1">
      <alignment horizontal="center" vertical="center" shrinkToFit="1"/>
      <protection locked="0"/>
    </xf>
    <xf numFmtId="185" fontId="5" fillId="0" borderId="13" xfId="0" applyNumberFormat="1" applyFont="1" applyBorder="1" applyAlignment="1" applyProtection="1">
      <alignment horizontal="center" vertical="center" shrinkToFit="1"/>
      <protection locked="0"/>
    </xf>
    <xf numFmtId="178" fontId="5" fillId="0" borderId="11" xfId="0" applyNumberFormat="1" applyFont="1" applyBorder="1" applyAlignment="1" applyProtection="1">
      <alignment horizontal="right" vertical="center" shrinkToFit="1"/>
      <protection locked="0"/>
    </xf>
    <xf numFmtId="179" fontId="5" fillId="0" borderId="139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 applyProtection="1">
      <alignment vertical="center" shrinkToFit="1"/>
      <protection/>
    </xf>
    <xf numFmtId="0" fontId="5" fillId="0" borderId="16" xfId="0" applyFont="1" applyFill="1" applyBorder="1" applyAlignment="1" applyProtection="1" quotePrefix="1">
      <alignment horizontal="right" vertical="center" shrinkToFit="1"/>
      <protection/>
    </xf>
    <xf numFmtId="0" fontId="5" fillId="0" borderId="48" xfId="0" applyFont="1" applyFill="1" applyBorder="1" applyAlignment="1" applyProtection="1" quotePrefix="1">
      <alignment horizontal="right" vertical="center" shrinkToFit="1"/>
      <protection/>
    </xf>
    <xf numFmtId="0" fontId="5" fillId="0" borderId="135" xfId="0" applyFont="1" applyFill="1" applyBorder="1" applyAlignment="1" applyProtection="1">
      <alignment horizontal="right" vertical="center" shrinkToFit="1"/>
      <protection/>
    </xf>
    <xf numFmtId="176" fontId="5" fillId="0" borderId="140" xfId="0" applyNumberFormat="1" applyFont="1" applyFill="1" applyBorder="1" applyAlignment="1" applyProtection="1" quotePrefix="1">
      <alignment horizontal="left" vertical="center" shrinkToFit="1"/>
      <protection/>
    </xf>
    <xf numFmtId="0" fontId="5" fillId="0" borderId="141" xfId="0" applyFont="1" applyFill="1" applyBorder="1" applyAlignment="1" applyProtection="1" quotePrefix="1">
      <alignment horizontal="right" vertical="center" shrinkToFit="1"/>
      <protection/>
    </xf>
    <xf numFmtId="176" fontId="5" fillId="0" borderId="16" xfId="0" applyNumberFormat="1" applyFont="1" applyFill="1" applyBorder="1" applyAlignment="1" applyProtection="1" quotePrefix="1">
      <alignment horizontal="left" vertical="center" shrinkToFit="1"/>
      <protection/>
    </xf>
    <xf numFmtId="0" fontId="5" fillId="0" borderId="103" xfId="0" applyFont="1" applyFill="1" applyBorder="1" applyAlignment="1" applyProtection="1" quotePrefix="1">
      <alignment horizontal="right" vertical="center" shrinkToFit="1"/>
      <protection/>
    </xf>
    <xf numFmtId="0" fontId="5" fillId="0" borderId="142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 quotePrefix="1">
      <alignment horizontal="right" vertical="center" shrinkToFit="1"/>
      <protection/>
    </xf>
    <xf numFmtId="0" fontId="5" fillId="0" borderId="16" xfId="0" applyFont="1" applyFill="1" applyBorder="1" applyAlignment="1" applyProtection="1" quotePrefix="1">
      <alignment horizontal="center" vertical="center" shrinkToFit="1"/>
      <protection/>
    </xf>
    <xf numFmtId="0" fontId="5" fillId="0" borderId="75" xfId="0" applyFont="1" applyFill="1" applyBorder="1" applyAlignment="1" applyProtection="1">
      <alignment horizontal="center" vertical="center" shrinkToFit="1"/>
      <protection/>
    </xf>
    <xf numFmtId="196" fontId="5" fillId="0" borderId="48" xfId="0" applyNumberFormat="1" applyFont="1" applyFill="1" applyBorder="1" applyAlignment="1" applyProtection="1" quotePrefix="1">
      <alignment horizontal="center" vertical="center" shrinkToFit="1"/>
      <protection/>
    </xf>
    <xf numFmtId="176" fontId="5" fillId="0" borderId="76" xfId="0" applyNumberFormat="1" applyFont="1" applyFill="1" applyBorder="1" applyAlignment="1" applyProtection="1" quotePrefix="1">
      <alignment horizontal="left" vertical="center" shrinkToFit="1"/>
      <protection/>
    </xf>
    <xf numFmtId="0" fontId="5" fillId="0" borderId="143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right" vertical="center" shrinkToFit="1"/>
      <protection/>
    </xf>
    <xf numFmtId="195" fontId="5" fillId="0" borderId="16" xfId="0" applyNumberFormat="1" applyFont="1" applyFill="1" applyBorder="1" applyAlignment="1" applyProtection="1" quotePrefix="1">
      <alignment horizontal="right" vertical="center" shrinkToFit="1"/>
      <protection/>
    </xf>
    <xf numFmtId="0" fontId="5" fillId="0" borderId="84" xfId="0" applyFont="1" applyFill="1" applyBorder="1" applyAlignment="1" applyProtection="1" quotePrefix="1">
      <alignment horizontal="right" vertical="center" shrinkToFit="1"/>
      <protection/>
    </xf>
    <xf numFmtId="0" fontId="5" fillId="0" borderId="77" xfId="0" applyFont="1" applyFill="1" applyBorder="1" applyAlignment="1" applyProtection="1">
      <alignment horizontal="center" vertical="center" shrinkToFit="1"/>
      <protection/>
    </xf>
    <xf numFmtId="0" fontId="5" fillId="0" borderId="144" xfId="0" applyFont="1" applyFill="1" applyBorder="1" applyAlignment="1" applyProtection="1">
      <alignment horizontal="center" vertical="center" shrinkToFit="1"/>
      <protection/>
    </xf>
    <xf numFmtId="0" fontId="5" fillId="0" borderId="53" xfId="0" applyFont="1" applyFill="1" applyBorder="1" applyAlignment="1" applyProtection="1" quotePrefix="1">
      <alignment horizontal="right" vertical="center" shrinkToFit="1"/>
      <protection/>
    </xf>
    <xf numFmtId="0" fontId="5" fillId="0" borderId="52" xfId="0" applyFont="1" applyFill="1" applyBorder="1" applyAlignment="1" applyProtection="1" quotePrefix="1">
      <alignment horizontal="right" vertical="center" shrinkToFit="1"/>
      <protection/>
    </xf>
    <xf numFmtId="0" fontId="5" fillId="0" borderId="52" xfId="0" applyFont="1" applyFill="1" applyBorder="1" applyAlignment="1" applyProtection="1">
      <alignment horizontal="right" vertical="center" shrinkToFit="1"/>
      <protection/>
    </xf>
    <xf numFmtId="0" fontId="5" fillId="0" borderId="53" xfId="0" applyFont="1" applyFill="1" applyBorder="1" applyAlignment="1" applyProtection="1" quotePrefix="1">
      <alignment horizontal="center" vertical="center" shrinkToFit="1"/>
      <protection/>
    </xf>
    <xf numFmtId="0" fontId="5" fillId="0" borderId="81" xfId="0" applyFont="1" applyFill="1" applyBorder="1" applyAlignment="1" applyProtection="1">
      <alignment horizontal="center" vertical="center" shrinkToFit="1"/>
      <protection/>
    </xf>
    <xf numFmtId="196" fontId="5" fillId="0" borderId="52" xfId="0" applyNumberFormat="1" applyFont="1" applyFill="1" applyBorder="1" applyAlignment="1" applyProtection="1" quotePrefix="1">
      <alignment horizontal="center" vertical="center" shrinkToFit="1"/>
      <protection/>
    </xf>
    <xf numFmtId="179" fontId="5" fillId="0" borderId="52" xfId="0" applyNumberFormat="1" applyFont="1" applyFill="1" applyBorder="1" applyAlignment="1" applyProtection="1">
      <alignment horizontal="left" vertical="center" shrinkToFit="1"/>
      <protection/>
    </xf>
    <xf numFmtId="0" fontId="5" fillId="0" borderId="53" xfId="0" applyFont="1" applyFill="1" applyBorder="1" applyAlignment="1" applyProtection="1">
      <alignment horizontal="right" vertical="center" shrinkToFit="1"/>
      <protection/>
    </xf>
    <xf numFmtId="176" fontId="5" fillId="0" borderId="53" xfId="0" applyNumberFormat="1" applyFont="1" applyFill="1" applyBorder="1" applyAlignment="1" applyProtection="1" quotePrefix="1">
      <alignment horizontal="left" vertical="center" shrinkToFit="1"/>
      <protection/>
    </xf>
    <xf numFmtId="0" fontId="5" fillId="0" borderId="92" xfId="0" applyFont="1" applyFill="1" applyBorder="1" applyAlignment="1" applyProtection="1" quotePrefix="1">
      <alignment horizontal="right" vertical="center" shrinkToFit="1"/>
      <protection/>
    </xf>
    <xf numFmtId="0" fontId="5" fillId="0" borderId="80" xfId="0" applyNumberFormat="1" applyFont="1" applyFill="1" applyBorder="1" applyAlignment="1" applyProtection="1">
      <alignment horizontal="center" vertical="center" shrinkToFit="1"/>
      <protection/>
    </xf>
    <xf numFmtId="0" fontId="5" fillId="0" borderId="70" xfId="0" applyNumberFormat="1" applyFont="1" applyFill="1" applyBorder="1" applyAlignment="1" applyProtection="1">
      <alignment horizontal="center" vertical="center" shrinkToFit="1"/>
      <protection/>
    </xf>
    <xf numFmtId="195" fontId="5" fillId="0" borderId="10" xfId="0" applyNumberFormat="1" applyFont="1" applyFill="1" applyBorder="1" applyAlignment="1" applyProtection="1" quotePrefix="1">
      <alignment horizontal="right" vertical="center" shrinkToFit="1"/>
      <protection/>
    </xf>
    <xf numFmtId="0" fontId="5" fillId="0" borderId="77" xfId="0" applyFont="1" applyFill="1" applyBorder="1" applyAlignment="1" applyProtection="1" quotePrefix="1">
      <alignment horizontal="right" vertical="center" shrinkToFit="1"/>
      <protection/>
    </xf>
    <xf numFmtId="0" fontId="5" fillId="0" borderId="49" xfId="0" applyFont="1" applyFill="1" applyBorder="1" applyAlignment="1" applyProtection="1" quotePrefix="1">
      <alignment horizontal="right" vertical="center" shrinkToFit="1"/>
      <protection/>
    </xf>
    <xf numFmtId="0" fontId="5" fillId="0" borderId="10" xfId="0" applyFont="1" applyFill="1" applyBorder="1" applyAlignment="1" applyProtection="1" quotePrefix="1">
      <alignment horizontal="right" vertical="center" shrinkToFit="1"/>
      <protection/>
    </xf>
    <xf numFmtId="0" fontId="5" fillId="0" borderId="49" xfId="0" applyFont="1" applyFill="1" applyBorder="1" applyAlignment="1" applyProtection="1">
      <alignment horizontal="right" vertical="center" shrinkToFit="1"/>
      <protection/>
    </xf>
    <xf numFmtId="0" fontId="5" fillId="0" borderId="10" xfId="0" applyFont="1" applyFill="1" applyBorder="1" applyAlignment="1" applyProtection="1" quotePrefix="1">
      <alignment horizontal="center" vertical="center" shrinkToFit="1"/>
      <protection/>
    </xf>
    <xf numFmtId="0" fontId="5" fillId="0" borderId="49" xfId="0" applyFont="1" applyFill="1" applyBorder="1" applyAlignment="1" applyProtection="1">
      <alignment horizontal="center" vertical="center" shrinkToFit="1"/>
      <protection/>
    </xf>
    <xf numFmtId="185" fontId="5" fillId="0" borderId="79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Fill="1" applyBorder="1" applyAlignment="1" applyProtection="1">
      <alignment horizontal="right" vertical="center" shrinkToFit="1"/>
      <protection/>
    </xf>
    <xf numFmtId="0" fontId="5" fillId="0" borderId="79" xfId="0" applyFont="1" applyFill="1" applyBorder="1" applyAlignment="1" applyProtection="1" quotePrefix="1">
      <alignment horizontal="right" vertical="center" shrinkToFit="1"/>
      <protection/>
    </xf>
    <xf numFmtId="176" fontId="5" fillId="0" borderId="10" xfId="0" applyNumberFormat="1" applyFont="1" applyFill="1" applyBorder="1" applyAlignment="1" applyProtection="1" quotePrefix="1">
      <alignment horizontal="left" vertical="center" shrinkToFit="1"/>
      <protection/>
    </xf>
    <xf numFmtId="0" fontId="0" fillId="0" borderId="34" xfId="0" applyFill="1" applyBorder="1" applyAlignment="1">
      <alignment vertical="center" shrinkToFit="1"/>
    </xf>
    <xf numFmtId="179" fontId="5" fillId="0" borderId="48" xfId="0" applyNumberFormat="1" applyFont="1" applyFill="1" applyBorder="1" applyAlignment="1" applyProtection="1">
      <alignment horizontal="center" vertical="center" shrinkToFit="1"/>
      <protection/>
    </xf>
    <xf numFmtId="0" fontId="5" fillId="0" borderId="141" xfId="0" applyFont="1" applyFill="1" applyBorder="1" applyAlignment="1" applyProtection="1">
      <alignment horizontal="right" vertical="center" shrinkToFit="1"/>
      <protection/>
    </xf>
    <xf numFmtId="176" fontId="5" fillId="0" borderId="80" xfId="0" applyNumberFormat="1" applyFont="1" applyFill="1" applyBorder="1" applyAlignment="1" applyProtection="1" quotePrefix="1">
      <alignment horizontal="left" vertical="center" shrinkToFit="1"/>
      <protection/>
    </xf>
    <xf numFmtId="0" fontId="5" fillId="0" borderId="129" xfId="0" applyFont="1" applyFill="1" applyBorder="1" applyAlignment="1" applyProtection="1" quotePrefix="1">
      <alignment horizontal="right" vertical="center" shrinkToFit="1"/>
      <protection/>
    </xf>
    <xf numFmtId="176" fontId="5" fillId="0" borderId="84" xfId="0" applyNumberFormat="1" applyFont="1" applyFill="1" applyBorder="1" applyAlignment="1" applyProtection="1" quotePrefix="1">
      <alignment horizontal="left" vertical="center" shrinkToFit="1"/>
      <protection/>
    </xf>
    <xf numFmtId="0" fontId="5" fillId="0" borderId="102" xfId="0" applyFont="1" applyFill="1" applyBorder="1" applyAlignment="1" applyProtection="1" quotePrefix="1">
      <alignment horizontal="right" vertical="center" shrinkToFit="1"/>
      <protection/>
    </xf>
    <xf numFmtId="0" fontId="5" fillId="0" borderId="76" xfId="0" applyFont="1" applyFill="1" applyBorder="1" applyAlignment="1" applyProtection="1" quotePrefix="1">
      <alignment horizontal="right" vertical="center" shrinkToFit="1"/>
      <protection/>
    </xf>
    <xf numFmtId="0" fontId="5" fillId="0" borderId="77" xfId="0" applyFont="1" applyFill="1" applyBorder="1" applyAlignment="1" applyProtection="1">
      <alignment horizontal="right" vertical="center" shrinkToFit="1"/>
      <protection/>
    </xf>
    <xf numFmtId="0" fontId="5" fillId="0" borderId="67" xfId="0" applyFont="1" applyFill="1" applyBorder="1" applyAlignment="1" applyProtection="1" quotePrefix="1">
      <alignment horizontal="right" vertical="center" shrinkToFit="1"/>
      <protection/>
    </xf>
    <xf numFmtId="0" fontId="5" fillId="0" borderId="48" xfId="0" applyFont="1" applyFill="1" applyBorder="1" applyAlignment="1" applyProtection="1" quotePrefix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179" fontId="5" fillId="0" borderId="48" xfId="0" applyNumberFormat="1" applyFont="1" applyFill="1" applyBorder="1" applyAlignment="1" applyProtection="1" quotePrefix="1">
      <alignment horizontal="left" vertical="center" shrinkToFit="1"/>
      <protection/>
    </xf>
    <xf numFmtId="0" fontId="5" fillId="0" borderId="11" xfId="0" applyFont="1" applyFill="1" applyBorder="1" applyAlignment="1" applyProtection="1" quotePrefix="1">
      <alignment horizontal="right" vertical="center" shrinkToFit="1"/>
      <protection/>
    </xf>
    <xf numFmtId="0" fontId="5" fillId="0" borderId="68" xfId="0" applyFont="1" applyFill="1" applyBorder="1" applyAlignment="1" applyProtection="1" quotePrefix="1">
      <alignment horizontal="right" vertical="center" shrinkToFit="1"/>
      <protection/>
    </xf>
    <xf numFmtId="0" fontId="5" fillId="0" borderId="52" xfId="0" applyFont="1" applyFill="1" applyBorder="1" applyAlignment="1" applyProtection="1" quotePrefix="1">
      <alignment horizontal="center" vertical="center" shrinkToFit="1"/>
      <protection/>
    </xf>
    <xf numFmtId="179" fontId="5" fillId="0" borderId="52" xfId="0" applyNumberFormat="1" applyFont="1" applyFill="1" applyBorder="1" applyAlignment="1" applyProtection="1" quotePrefix="1">
      <alignment horizontal="left" vertical="center" shrinkToFit="1"/>
      <protection/>
    </xf>
    <xf numFmtId="0" fontId="5" fillId="0" borderId="98" xfId="0" applyFont="1" applyFill="1" applyBorder="1" applyAlignment="1" applyProtection="1" quotePrefix="1">
      <alignment horizontal="right" vertical="center" shrinkToFi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5" fillId="0" borderId="117" xfId="0" applyFont="1" applyFill="1" applyBorder="1" applyAlignment="1" applyProtection="1">
      <alignment horizontal="center" vertical="center" shrinkToFit="1"/>
      <protection/>
    </xf>
    <xf numFmtId="0" fontId="5" fillId="0" borderId="80" xfId="0" applyFont="1" applyFill="1" applyBorder="1" applyAlignment="1" applyProtection="1" quotePrefix="1">
      <alignment horizontal="right" vertical="center"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179" fontId="5" fillId="0" borderId="131" xfId="0" applyNumberFormat="1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right" vertical="center" shrinkToFit="1"/>
      <protection/>
    </xf>
    <xf numFmtId="197" fontId="5" fillId="0" borderId="10" xfId="0" applyNumberFormat="1" applyFont="1" applyFill="1" applyBorder="1" applyAlignment="1" applyProtection="1">
      <alignment horizontal="center" vertical="center" shrinkToFit="1"/>
      <protection/>
    </xf>
    <xf numFmtId="197" fontId="5" fillId="0" borderId="79" xfId="0" applyNumberFormat="1" applyFont="1" applyFill="1" applyBorder="1" applyAlignment="1" applyProtection="1">
      <alignment horizontal="center" vertical="center" shrinkToFit="1"/>
      <protection/>
    </xf>
    <xf numFmtId="0" fontId="5" fillId="0" borderId="137" xfId="0" applyFont="1" applyFill="1" applyBorder="1" applyAlignment="1" applyProtection="1">
      <alignment horizontal="right" vertical="center" shrinkToFit="1"/>
      <protection/>
    </xf>
    <xf numFmtId="0" fontId="5" fillId="0" borderId="138" xfId="0" applyFont="1" applyFill="1" applyBorder="1" applyAlignment="1" applyProtection="1" quotePrefix="1">
      <alignment horizontal="right" vertical="center" shrinkToFit="1"/>
      <protection/>
    </xf>
    <xf numFmtId="0" fontId="5" fillId="0" borderId="78" xfId="0" applyFont="1" applyFill="1" applyBorder="1" applyAlignment="1" applyProtection="1">
      <alignment horizontal="center" vertical="center" shrinkToFit="1"/>
      <protection/>
    </xf>
    <xf numFmtId="0" fontId="5" fillId="0" borderId="81" xfId="0" applyFont="1" applyFill="1" applyBorder="1" applyAlignment="1" applyProtection="1" quotePrefix="1">
      <alignment horizontal="right" vertical="center" shrinkToFit="1"/>
      <protection/>
    </xf>
    <xf numFmtId="0" fontId="5" fillId="0" borderId="53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197" fontId="5" fillId="0" borderId="79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79" xfId="0" applyFont="1" applyFill="1" applyBorder="1" applyAlignment="1" applyProtection="1">
      <alignment horizontal="right" vertical="center" shrinkToFit="1"/>
      <protection/>
    </xf>
    <xf numFmtId="0" fontId="5" fillId="0" borderId="10" xfId="0" applyNumberFormat="1" applyFont="1" applyFill="1" applyBorder="1" applyAlignment="1" applyProtection="1">
      <alignment horizontal="left" vertical="center" shrinkToFit="1"/>
      <protection/>
    </xf>
    <xf numFmtId="179" fontId="5" fillId="0" borderId="75" xfId="0" applyNumberFormat="1" applyFont="1" applyFill="1" applyBorder="1" applyAlignment="1" applyProtection="1">
      <alignment horizontal="left" vertical="center" shrinkToFit="1"/>
      <protection/>
    </xf>
    <xf numFmtId="0" fontId="5" fillId="0" borderId="76" xfId="0" applyNumberFormat="1" applyFont="1" applyFill="1" applyBorder="1" applyAlignment="1" applyProtection="1">
      <alignment horizontal="right" vertical="center" shrinkToFit="1"/>
      <protection/>
    </xf>
    <xf numFmtId="0" fontId="5" fillId="0" borderId="103" xfId="0" applyNumberFormat="1" applyFont="1" applyFill="1" applyBorder="1" applyAlignment="1" applyProtection="1">
      <alignment horizontal="left" vertical="center" shrinkToFit="1"/>
      <protection/>
    </xf>
    <xf numFmtId="179" fontId="5" fillId="0" borderId="48" xfId="0" applyNumberFormat="1" applyFont="1" applyFill="1" applyBorder="1" applyAlignment="1" applyProtection="1">
      <alignment vertical="center" shrinkToFit="1"/>
      <protection/>
    </xf>
    <xf numFmtId="180" fontId="5" fillId="0" borderId="75" xfId="0" applyNumberFormat="1" applyFont="1" applyFill="1" applyBorder="1" applyAlignment="1" applyProtection="1">
      <alignment vertical="center" shrinkToFit="1"/>
      <protection/>
    </xf>
    <xf numFmtId="179" fontId="5" fillId="0" borderId="103" xfId="0" applyNumberFormat="1" applyFont="1" applyFill="1" applyBorder="1" applyAlignment="1" applyProtection="1">
      <alignment vertical="center" shrinkToFit="1"/>
      <protection/>
    </xf>
    <xf numFmtId="180" fontId="5" fillId="0" borderId="10" xfId="0" applyNumberFormat="1" applyFont="1" applyFill="1" applyBorder="1" applyAlignment="1" applyProtection="1">
      <alignment vertical="center" shrinkToFit="1"/>
      <protection/>
    </xf>
    <xf numFmtId="179" fontId="5" fillId="0" borderId="10" xfId="0" applyNumberFormat="1" applyFont="1" applyFill="1" applyBorder="1" applyAlignment="1" applyProtection="1">
      <alignment vertical="center" shrinkToFit="1"/>
      <protection/>
    </xf>
    <xf numFmtId="179" fontId="5" fillId="0" borderId="49" xfId="0" applyNumberFormat="1" applyFont="1" applyFill="1" applyBorder="1" applyAlignment="1" applyProtection="1">
      <alignment vertical="center" shrinkToFit="1"/>
      <protection/>
    </xf>
    <xf numFmtId="180" fontId="5" fillId="0" borderId="77" xfId="0" applyNumberFormat="1" applyFont="1" applyFill="1" applyBorder="1" applyAlignment="1" applyProtection="1">
      <alignment vertical="center" shrinkToFit="1"/>
      <protection/>
    </xf>
    <xf numFmtId="180" fontId="5" fillId="0" borderId="102" xfId="0" applyNumberFormat="1" applyFont="1" applyFill="1" applyBorder="1" applyAlignment="1" applyProtection="1">
      <alignment vertical="center" shrinkToFit="1"/>
      <protection/>
    </xf>
    <xf numFmtId="180" fontId="10" fillId="0" borderId="13" xfId="0" applyNumberFormat="1" applyFont="1" applyFill="1" applyBorder="1" applyAlignment="1" applyProtection="1">
      <alignment horizontal="right" vertical="center" shrinkToFit="1"/>
      <protection/>
    </xf>
    <xf numFmtId="180" fontId="10" fillId="0" borderId="0" xfId="0" applyNumberFormat="1" applyFont="1" applyFill="1" applyBorder="1" applyAlignment="1" applyProtection="1">
      <alignment horizontal="center" vertical="center" shrinkToFit="1"/>
      <protection/>
    </xf>
    <xf numFmtId="180" fontId="10" fillId="0" borderId="0" xfId="0" applyNumberFormat="1" applyFont="1" applyFill="1" applyBorder="1" applyAlignment="1" applyProtection="1">
      <alignment horizontal="right" vertical="center" shrinkToFit="1"/>
      <protection/>
    </xf>
    <xf numFmtId="180" fontId="10" fillId="0" borderId="16" xfId="0" applyNumberFormat="1" applyFont="1" applyFill="1" applyBorder="1" applyAlignment="1" applyProtection="1" quotePrefix="1">
      <alignment horizontal="right" vertical="center" shrinkToFit="1"/>
      <protection/>
    </xf>
    <xf numFmtId="180" fontId="4" fillId="0" borderId="16" xfId="0" applyNumberFormat="1" applyFont="1" applyFill="1" applyBorder="1" applyAlignment="1" applyProtection="1" quotePrefix="1">
      <alignment horizontal="right" vertical="center" shrinkToFit="1"/>
      <protection/>
    </xf>
    <xf numFmtId="180" fontId="10" fillId="0" borderId="135" xfId="0" applyNumberFormat="1" applyFont="1" applyFill="1" applyBorder="1" applyAlignment="1" applyProtection="1" quotePrefix="1">
      <alignment horizontal="right" vertical="center" shrinkToFit="1"/>
      <protection/>
    </xf>
    <xf numFmtId="180" fontId="10" fillId="0" borderId="0" xfId="0" applyNumberFormat="1" applyFont="1" applyFill="1" applyBorder="1" applyAlignment="1" applyProtection="1" quotePrefix="1">
      <alignment horizontal="right" vertical="center" shrinkToFit="1"/>
      <protection/>
    </xf>
    <xf numFmtId="180" fontId="10" fillId="0" borderId="48" xfId="0" applyNumberFormat="1" applyFont="1" applyFill="1" applyBorder="1" applyAlignment="1" applyProtection="1" quotePrefix="1">
      <alignment horizontal="right" vertical="center" shrinkToFit="1"/>
      <protection/>
    </xf>
    <xf numFmtId="180" fontId="10" fillId="0" borderId="16" xfId="0" applyNumberFormat="1" applyFont="1" applyFill="1" applyBorder="1" applyAlignment="1" applyProtection="1">
      <alignment vertical="center" shrinkToFit="1"/>
      <protection/>
    </xf>
    <xf numFmtId="180" fontId="10" fillId="0" borderId="103" xfId="0" applyNumberFormat="1" applyFont="1" applyFill="1" applyBorder="1" applyAlignment="1" applyProtection="1" quotePrefix="1">
      <alignment horizontal="right" vertical="center" shrinkToFit="1"/>
      <protection/>
    </xf>
    <xf numFmtId="180" fontId="4" fillId="0" borderId="13" xfId="0" applyNumberFormat="1" applyFont="1" applyFill="1" applyBorder="1" applyAlignment="1" applyProtection="1">
      <alignment horizontal="right" vertical="center" shrinkToFit="1"/>
      <protection/>
    </xf>
    <xf numFmtId="180" fontId="4" fillId="0" borderId="0" xfId="0" applyNumberFormat="1" applyFont="1" applyFill="1" applyBorder="1" applyAlignment="1" applyProtection="1">
      <alignment horizontal="center" vertical="center" shrinkToFit="1"/>
      <protection/>
    </xf>
    <xf numFmtId="180" fontId="4" fillId="0" borderId="0" xfId="0" applyNumberFormat="1" applyFont="1" applyFill="1" applyBorder="1" applyAlignment="1" applyProtection="1">
      <alignment horizontal="right" vertical="center" shrinkToFit="1"/>
      <protection/>
    </xf>
    <xf numFmtId="180" fontId="10" fillId="0" borderId="75" xfId="0" applyNumberFormat="1" applyFont="1" applyFill="1" applyBorder="1" applyAlignment="1" applyProtection="1" quotePrefix="1">
      <alignment horizontal="right" vertical="center" shrinkToFit="1"/>
      <protection/>
    </xf>
    <xf numFmtId="180" fontId="4" fillId="0" borderId="16" xfId="0" applyNumberFormat="1" applyFont="1" applyFill="1" applyBorder="1" applyAlignment="1" applyProtection="1">
      <alignment horizontal="right" vertical="center" shrinkToFit="1"/>
      <protection/>
    </xf>
    <xf numFmtId="180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18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67" xfId="0" applyNumberFormat="1" applyFont="1" applyFill="1" applyBorder="1" applyAlignment="1" applyProtection="1">
      <alignment horizontal="right" vertical="center" shrinkToFit="1"/>
      <protection locked="0"/>
    </xf>
    <xf numFmtId="180" fontId="4" fillId="0" borderId="10" xfId="0" applyNumberFormat="1" applyFont="1" applyFill="1" applyBorder="1" applyAlignment="1" applyProtection="1">
      <alignment vertical="center" shrinkToFit="1"/>
      <protection locked="0"/>
    </xf>
    <xf numFmtId="180" fontId="4" fillId="0" borderId="77" xfId="0" applyNumberFormat="1" applyFont="1" applyFill="1" applyBorder="1" applyAlignment="1" applyProtection="1">
      <alignment vertical="center" shrinkToFit="1"/>
      <protection locked="0"/>
    </xf>
    <xf numFmtId="180" fontId="4" fillId="0" borderId="11" xfId="0" applyNumberFormat="1" applyFont="1" applyFill="1" applyBorder="1" applyAlignment="1" applyProtection="1">
      <alignment vertical="center" shrinkToFit="1"/>
      <protection locked="0"/>
    </xf>
    <xf numFmtId="180" fontId="4" fillId="0" borderId="10" xfId="0" applyNumberFormat="1" applyFont="1" applyFill="1" applyBorder="1" applyAlignment="1" applyProtection="1">
      <alignment vertical="center" shrinkToFit="1"/>
      <protection/>
    </xf>
    <xf numFmtId="180" fontId="4" fillId="0" borderId="49" xfId="0" applyNumberFormat="1" applyFont="1" applyFill="1" applyBorder="1" applyAlignment="1" applyProtection="1">
      <alignment vertical="center" shrinkToFit="1"/>
      <protection/>
    </xf>
    <xf numFmtId="180" fontId="44" fillId="0" borderId="10" xfId="0" applyNumberFormat="1" applyFont="1" applyFill="1" applyBorder="1" applyAlignment="1" applyProtection="1">
      <alignment vertical="center" shrinkToFit="1"/>
      <protection locked="0"/>
    </xf>
    <xf numFmtId="180" fontId="4" fillId="0" borderId="84" xfId="0" applyNumberFormat="1" applyFont="1" applyFill="1" applyBorder="1" applyAlignment="1" applyProtection="1" quotePrefix="1">
      <alignment horizontal="right" vertical="center" shrinkToFit="1"/>
      <protection locked="0"/>
    </xf>
    <xf numFmtId="180" fontId="4" fillId="0" borderId="49" xfId="0" applyNumberFormat="1" applyFont="1" applyFill="1" applyBorder="1" applyAlignment="1" applyProtection="1">
      <alignment vertical="center" shrinkToFit="1"/>
      <protection locked="0"/>
    </xf>
    <xf numFmtId="180" fontId="4" fillId="0" borderId="102" xfId="0" applyNumberFormat="1" applyFont="1" applyFill="1" applyBorder="1" applyAlignment="1" applyProtection="1">
      <alignment vertical="center" shrinkToFit="1"/>
      <protection locked="0"/>
    </xf>
    <xf numFmtId="180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180" fontId="4" fillId="0" borderId="145" xfId="0" applyNumberFormat="1" applyFont="1" applyFill="1" applyBorder="1" applyAlignment="1" applyProtection="1">
      <alignment vertical="center" shrinkToFit="1"/>
      <protection locked="0"/>
    </xf>
    <xf numFmtId="0" fontId="4" fillId="0" borderId="38" xfId="0" applyNumberFormat="1" applyFont="1" applyFill="1" applyBorder="1" applyAlignment="1" applyProtection="1">
      <alignment horizontal="right" vertical="center" shrinkToFit="1"/>
      <protection locked="0"/>
    </xf>
    <xf numFmtId="180" fontId="4" fillId="0" borderId="102" xfId="0" applyNumberFormat="1" applyFont="1" applyFill="1" applyBorder="1" applyAlignment="1" applyProtection="1">
      <alignment horizontal="right" vertical="center" shrinkToFit="1"/>
      <protection locked="0"/>
    </xf>
    <xf numFmtId="18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>
      <alignment horizontal="center" shrinkToFit="1"/>
    </xf>
    <xf numFmtId="0" fontId="4" fillId="0" borderId="56" xfId="0" applyFont="1" applyFill="1" applyBorder="1" applyAlignment="1">
      <alignment horizontal="center" shrinkToFit="1"/>
    </xf>
    <xf numFmtId="180" fontId="4" fillId="0" borderId="146" xfId="0" applyNumberFormat="1" applyFont="1" applyFill="1" applyBorder="1" applyAlignment="1" applyProtection="1">
      <alignment vertical="center" shrinkToFit="1"/>
      <protection locked="0"/>
    </xf>
    <xf numFmtId="180" fontId="4" fillId="0" borderId="147" xfId="0" applyNumberFormat="1" applyFont="1" applyFill="1" applyBorder="1" applyAlignment="1" applyProtection="1">
      <alignment vertical="center" shrinkToFit="1"/>
      <protection locked="0"/>
    </xf>
    <xf numFmtId="180" fontId="4" fillId="0" borderId="49" xfId="0" applyNumberFormat="1" applyFont="1" applyFill="1" applyBorder="1" applyAlignment="1" applyProtection="1" quotePrefix="1">
      <alignment horizontal="left" vertical="center" shrinkToFit="1"/>
      <protection locked="0"/>
    </xf>
    <xf numFmtId="190" fontId="4" fillId="0" borderId="10" xfId="0" applyNumberFormat="1" applyFont="1" applyFill="1" applyBorder="1" applyAlignment="1" applyProtection="1">
      <alignment vertical="center" shrinkToFit="1"/>
      <protection locked="0"/>
    </xf>
    <xf numFmtId="190" fontId="4" fillId="0" borderId="49" xfId="0" applyNumberFormat="1" applyFont="1" applyFill="1" applyBorder="1" applyAlignment="1" applyProtection="1">
      <alignment vertical="center" shrinkToFit="1"/>
      <protection locked="0"/>
    </xf>
    <xf numFmtId="190" fontId="4" fillId="0" borderId="102" xfId="0" applyNumberFormat="1" applyFont="1" applyFill="1" applyBorder="1" applyAlignment="1" applyProtection="1">
      <alignment vertical="center" shrinkToFit="1"/>
      <protection locked="0"/>
    </xf>
    <xf numFmtId="180" fontId="9" fillId="0" borderId="21" xfId="0" applyNumberFormat="1" applyFont="1" applyBorder="1" applyAlignment="1" applyProtection="1">
      <alignment horizontal="right" vertical="center"/>
      <protection/>
    </xf>
    <xf numFmtId="196" fontId="5" fillId="0" borderId="75" xfId="0" applyNumberFormat="1" applyFont="1" applyFill="1" applyBorder="1" applyAlignment="1" applyProtection="1">
      <alignment horizontal="right" vertical="center" shrinkToFit="1"/>
      <protection/>
    </xf>
    <xf numFmtId="197" fontId="5" fillId="0" borderId="77" xfId="0" applyNumberFormat="1" applyFont="1" applyFill="1" applyBorder="1" applyAlignment="1" applyProtection="1">
      <alignment horizontal="right" vertical="center" shrinkToFit="1"/>
      <protection/>
    </xf>
    <xf numFmtId="0" fontId="5" fillId="0" borderId="80" xfId="0" applyFont="1" applyFill="1" applyBorder="1" applyAlignment="1" applyProtection="1" quotePrefix="1">
      <alignment horizontal="center" vertical="center" shrinkToFit="1"/>
      <protection/>
    </xf>
    <xf numFmtId="196" fontId="5" fillId="0" borderId="48" xfId="0" applyNumberFormat="1" applyFont="1" applyBorder="1" applyAlignment="1" quotePrefix="1">
      <alignment horizontal="center" vertical="center"/>
    </xf>
    <xf numFmtId="0" fontId="5" fillId="0" borderId="49" xfId="0" applyFont="1" applyBorder="1" applyAlignment="1">
      <alignment horizontal="center" vertical="center"/>
    </xf>
    <xf numFmtId="179" fontId="5" fillId="0" borderId="69" xfId="0" applyNumberFormat="1" applyFont="1" applyBorder="1" applyAlignment="1" applyProtection="1">
      <alignment vertical="center" shrinkToFit="1"/>
      <protection locked="0"/>
    </xf>
    <xf numFmtId="179" fontId="5" fillId="0" borderId="67" xfId="0" applyNumberFormat="1" applyFont="1" applyBorder="1" applyAlignment="1" applyProtection="1">
      <alignment vertical="center" shrinkToFit="1"/>
      <protection locked="0"/>
    </xf>
    <xf numFmtId="179" fontId="5" fillId="0" borderId="77" xfId="0" applyNumberFormat="1" applyFont="1" applyBorder="1" applyAlignment="1" applyProtection="1">
      <alignment horizontal="right" vertical="center" shrinkToFit="1"/>
      <protection locked="0"/>
    </xf>
    <xf numFmtId="179" fontId="5" fillId="0" borderId="141" xfId="0" applyNumberFormat="1" applyFont="1" applyFill="1" applyBorder="1" applyAlignment="1" applyProtection="1">
      <alignment vertical="center" shrinkToFit="1"/>
      <protection locked="0"/>
    </xf>
    <xf numFmtId="179" fontId="5" fillId="0" borderId="11" xfId="0" applyNumberFormat="1" applyFont="1" applyFill="1" applyBorder="1" applyAlignment="1" applyProtection="1">
      <alignment horizontal="right" vertical="center" shrinkToFit="1"/>
      <protection/>
    </xf>
    <xf numFmtId="179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5" fillId="0" borderId="77" xfId="0" applyNumberFormat="1" applyFont="1" applyFill="1" applyBorder="1" applyAlignment="1" applyProtection="1">
      <alignment horizontal="right" vertical="center" shrinkToFit="1"/>
      <protection locked="0"/>
    </xf>
    <xf numFmtId="180" fontId="5" fillId="0" borderId="7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left" vertical="center"/>
      <protection/>
    </xf>
    <xf numFmtId="185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5" fillId="0" borderId="49" xfId="0" applyNumberFormat="1" applyFont="1" applyFill="1" applyBorder="1" applyAlignment="1" applyProtection="1">
      <alignment vertical="center" shrinkToFit="1"/>
      <protection/>
    </xf>
    <xf numFmtId="178" fontId="5" fillId="0" borderId="28" xfId="0" applyNumberFormat="1" applyFont="1" applyFill="1" applyBorder="1" applyAlignment="1" applyProtection="1">
      <alignment vertical="center" shrinkToFit="1"/>
      <protection locked="0"/>
    </xf>
    <xf numFmtId="179" fontId="5" fillId="0" borderId="52" xfId="0" applyNumberFormat="1" applyFont="1" applyFill="1" applyBorder="1" applyAlignment="1" applyProtection="1">
      <alignment vertical="center" shrinkToFit="1"/>
      <protection locked="0"/>
    </xf>
    <xf numFmtId="0" fontId="5" fillId="0" borderId="84" xfId="0" applyFont="1" applyFill="1" applyBorder="1" applyAlignment="1" applyProtection="1" quotePrefix="1">
      <alignment horizontal="center" vertical="center" shrinkToFit="1"/>
      <protection/>
    </xf>
    <xf numFmtId="0" fontId="47" fillId="0" borderId="0" xfId="67" applyFont="1">
      <alignment/>
      <protection/>
    </xf>
    <xf numFmtId="0" fontId="47" fillId="0" borderId="116" xfId="67" applyFont="1" applyBorder="1" applyAlignment="1">
      <alignment horizontal="center" wrapText="1"/>
      <protection/>
    </xf>
    <xf numFmtId="0" fontId="48" fillId="21" borderId="116" xfId="67" applyFont="1" applyFill="1" applyBorder="1" applyAlignment="1">
      <alignment horizontal="center" wrapText="1"/>
      <protection/>
    </xf>
    <xf numFmtId="0" fontId="48" fillId="0" borderId="116" xfId="67" applyFont="1" applyBorder="1" applyAlignment="1">
      <alignment horizontal="center" wrapText="1"/>
      <protection/>
    </xf>
    <xf numFmtId="0" fontId="49" fillId="4" borderId="116" xfId="67" applyFont="1" applyFill="1" applyBorder="1" applyAlignment="1">
      <alignment horizontal="center" wrapText="1"/>
      <protection/>
    </xf>
    <xf numFmtId="0" fontId="49" fillId="0" borderId="116" xfId="67" applyFont="1" applyBorder="1" applyAlignment="1">
      <alignment horizontal="center" wrapText="1"/>
      <protection/>
    </xf>
    <xf numFmtId="49" fontId="47" fillId="0" borderId="116" xfId="67" applyNumberFormat="1" applyFont="1" applyBorder="1" applyAlignment="1">
      <alignment horizontal="right"/>
      <protection/>
    </xf>
    <xf numFmtId="208" fontId="48" fillId="21" borderId="116" xfId="67" applyNumberFormat="1" applyFont="1" applyFill="1" applyBorder="1" applyAlignment="1">
      <alignment horizontal="right"/>
      <protection/>
    </xf>
    <xf numFmtId="208" fontId="48" fillId="0" borderId="116" xfId="67" applyNumberFormat="1" applyFont="1" applyBorder="1" applyAlignment="1">
      <alignment horizontal="right"/>
      <protection/>
    </xf>
    <xf numFmtId="208" fontId="49" fillId="4" borderId="116" xfId="67" applyNumberFormat="1" applyFont="1" applyFill="1" applyBorder="1">
      <alignment/>
      <protection/>
    </xf>
    <xf numFmtId="208" fontId="49" fillId="0" borderId="116" xfId="67" applyNumberFormat="1" applyFont="1" applyBorder="1" applyAlignment="1">
      <alignment horizontal="right"/>
      <protection/>
    </xf>
    <xf numFmtId="0" fontId="65" fillId="0" borderId="0" xfId="76" applyFont="1">
      <alignment vertical="center"/>
      <protection/>
    </xf>
    <xf numFmtId="0" fontId="47" fillId="0" borderId="148" xfId="67" applyFont="1" applyBorder="1" applyAlignment="1">
      <alignment horizontal="right"/>
      <protection/>
    </xf>
    <xf numFmtId="209" fontId="48" fillId="0" borderId="148" xfId="67" applyNumberFormat="1" applyFont="1" applyBorder="1">
      <alignment/>
      <protection/>
    </xf>
    <xf numFmtId="208" fontId="48" fillId="0" borderId="148" xfId="67" applyNumberFormat="1" applyFont="1" applyBorder="1">
      <alignment/>
      <protection/>
    </xf>
    <xf numFmtId="208" fontId="49" fillId="0" borderId="148" xfId="67" applyNumberFormat="1" applyFont="1" applyBorder="1">
      <alignment/>
      <protection/>
    </xf>
    <xf numFmtId="0" fontId="51" fillId="0" borderId="0" xfId="67" applyFont="1">
      <alignment/>
      <protection/>
    </xf>
    <xf numFmtId="0" fontId="52" fillId="0" borderId="0" xfId="67" applyFont="1">
      <alignment/>
      <protection/>
    </xf>
    <xf numFmtId="210" fontId="47" fillId="0" borderId="0" xfId="67" applyNumberFormat="1" applyFont="1">
      <alignment/>
      <protection/>
    </xf>
    <xf numFmtId="2" fontId="47" fillId="0" borderId="0" xfId="67" applyNumberFormat="1" applyFont="1">
      <alignment/>
      <protection/>
    </xf>
    <xf numFmtId="0" fontId="47" fillId="0" borderId="0" xfId="67" applyFont="1" applyAlignment="1">
      <alignment horizontal="center"/>
      <protection/>
    </xf>
    <xf numFmtId="180" fontId="53" fillId="0" borderId="29" xfId="0" applyNumberFormat="1" applyFont="1" applyFill="1" applyBorder="1" applyAlignment="1" applyProtection="1">
      <alignment horizontal="right" vertical="center" shrinkToFit="1"/>
      <protection locked="0"/>
    </xf>
    <xf numFmtId="180" fontId="5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80" fontId="9" fillId="0" borderId="29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right" vertical="center"/>
    </xf>
    <xf numFmtId="190" fontId="44" fillId="0" borderId="10" xfId="0" applyNumberFormat="1" applyFont="1" applyFill="1" applyBorder="1" applyAlignment="1" applyProtection="1">
      <alignment vertical="center" shrinkToFit="1"/>
      <protection locked="0"/>
    </xf>
    <xf numFmtId="190" fontId="4" fillId="0" borderId="10" xfId="0" applyNumberFormat="1" applyFont="1" applyFill="1" applyBorder="1" applyAlignment="1" applyProtection="1">
      <alignment vertical="center" shrinkToFit="1"/>
      <protection/>
    </xf>
    <xf numFmtId="190" fontId="4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 applyProtection="1">
      <alignment horizontal="right" vertical="center" shrinkToFit="1"/>
      <protection/>
    </xf>
    <xf numFmtId="200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195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53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43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16" xfId="0" applyNumberFormat="1" applyFont="1" applyFill="1" applyBorder="1" applyAlignment="1" applyProtection="1">
      <alignment horizontal="right" vertical="center" shrinkToFit="1"/>
      <protection/>
    </xf>
    <xf numFmtId="180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18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10" xfId="0" applyNumberFormat="1" applyFont="1" applyFill="1" applyBorder="1" applyAlignment="1" applyProtection="1">
      <alignment horizontal="right" vertical="center" shrinkToFit="1"/>
      <protection/>
    </xf>
    <xf numFmtId="180" fontId="13" fillId="4" borderId="10" xfId="0" applyNumberFormat="1" applyFont="1" applyFill="1" applyBorder="1" applyAlignment="1">
      <alignment vertical="center"/>
    </xf>
    <xf numFmtId="196" fontId="5" fillId="0" borderId="79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13" xfId="68" applyNumberFormat="1" applyFont="1" applyBorder="1" applyAlignment="1" applyProtection="1">
      <alignment horizontal="center" vertical="center" shrinkToFit="1"/>
      <protection/>
    </xf>
    <xf numFmtId="179" fontId="10" fillId="0" borderId="13" xfId="68" applyNumberFormat="1" applyFont="1" applyBorder="1" applyAlignment="1" applyProtection="1">
      <alignment horizontal="center" vertical="center" shrinkToFit="1"/>
      <protection/>
    </xf>
    <xf numFmtId="179" fontId="10" fillId="0" borderId="16" xfId="68" applyNumberFormat="1" applyFont="1" applyBorder="1" applyAlignment="1" applyProtection="1">
      <alignment horizontal="center" vertical="center" shrinkToFit="1"/>
      <protection/>
    </xf>
    <xf numFmtId="0" fontId="10" fillId="0" borderId="149" xfId="68" applyNumberFormat="1" applyFont="1" applyBorder="1" applyAlignment="1" applyProtection="1">
      <alignment horizontal="center" vertical="center" shrinkToFit="1"/>
      <protection/>
    </xf>
    <xf numFmtId="179" fontId="10" fillId="0" borderId="150" xfId="68" applyNumberFormat="1" applyFont="1" applyBorder="1" applyAlignment="1" applyProtection="1">
      <alignment horizontal="center" vertical="center" shrinkToFit="1"/>
      <protection/>
    </xf>
    <xf numFmtId="179" fontId="0" fillId="0" borderId="18" xfId="68" applyNumberFormat="1" applyFont="1" applyBorder="1" applyAlignment="1" applyProtection="1">
      <alignment horizontal="center" vertical="center" shrinkToFit="1"/>
      <protection/>
    </xf>
    <xf numFmtId="179" fontId="10" fillId="0" borderId="18" xfId="68" applyNumberFormat="1" applyFont="1" applyBorder="1" applyAlignment="1" applyProtection="1">
      <alignment horizontal="center" vertical="center" shrinkToFit="1"/>
      <protection/>
    </xf>
    <xf numFmtId="179" fontId="10" fillId="0" borderId="20" xfId="68" applyNumberFormat="1" applyFont="1" applyBorder="1" applyAlignment="1" applyProtection="1" quotePrefix="1">
      <alignment horizontal="right" vertical="center" shrinkToFit="1"/>
      <protection/>
    </xf>
    <xf numFmtId="179" fontId="10" fillId="0" borderId="21" xfId="68" applyNumberFormat="1" applyFont="1" applyBorder="1" applyAlignment="1" applyProtection="1" quotePrefix="1">
      <alignment horizontal="right" vertical="center" shrinkToFit="1"/>
      <protection/>
    </xf>
    <xf numFmtId="0" fontId="10" fillId="0" borderId="123" xfId="68" applyNumberFormat="1" applyFont="1" applyBorder="1" applyAlignment="1" applyProtection="1" quotePrefix="1">
      <alignment horizontal="right" vertical="center" shrinkToFit="1"/>
      <protection/>
    </xf>
    <xf numFmtId="179" fontId="10" fillId="0" borderId="124" xfId="68" applyNumberFormat="1" applyFont="1" applyBorder="1" applyAlignment="1" applyProtection="1" quotePrefix="1">
      <alignment horizontal="right" vertical="center" shrinkToFit="1"/>
      <protection/>
    </xf>
    <xf numFmtId="179" fontId="10" fillId="0" borderId="23" xfId="68" applyNumberFormat="1" applyFont="1" applyBorder="1" applyAlignment="1" applyProtection="1" quotePrefix="1">
      <alignment horizontal="right" vertical="center" shrinkToFit="1"/>
      <protection/>
    </xf>
    <xf numFmtId="179" fontId="10" fillId="0" borderId="24" xfId="68" applyNumberFormat="1" applyFont="1" applyBorder="1" applyAlignment="1" applyProtection="1" quotePrefix="1">
      <alignment horizontal="right" vertical="center" shrinkToFit="1"/>
      <protection/>
    </xf>
    <xf numFmtId="179" fontId="10" fillId="0" borderId="22" xfId="68" applyNumberFormat="1" applyFont="1" applyBorder="1" applyAlignment="1" applyProtection="1" quotePrefix="1">
      <alignment horizontal="right" vertical="center" shrinkToFit="1"/>
      <protection/>
    </xf>
    <xf numFmtId="179" fontId="5" fillId="0" borderId="7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67" applyFont="1" applyFill="1">
      <alignment/>
      <protection/>
    </xf>
    <xf numFmtId="0" fontId="0" fillId="0" borderId="116" xfId="67" applyFont="1" applyFill="1" applyBorder="1" applyAlignment="1">
      <alignment horizontal="center" wrapText="1"/>
      <protection/>
    </xf>
    <xf numFmtId="49" fontId="0" fillId="0" borderId="116" xfId="67" applyNumberFormat="1" applyFont="1" applyFill="1" applyBorder="1" applyAlignment="1">
      <alignment horizontal="right"/>
      <protection/>
    </xf>
    <xf numFmtId="0" fontId="0" fillId="0" borderId="148" xfId="67" applyFont="1" applyFill="1" applyBorder="1" applyAlignment="1">
      <alignment horizontal="right"/>
      <protection/>
    </xf>
    <xf numFmtId="213" fontId="0" fillId="0" borderId="148" xfId="67" applyNumberFormat="1" applyFont="1" applyFill="1" applyBorder="1">
      <alignment/>
      <protection/>
    </xf>
    <xf numFmtId="0" fontId="0" fillId="0" borderId="116" xfId="67" applyNumberFormat="1" applyFont="1" applyFill="1" applyBorder="1" applyAlignment="1">
      <alignment horizontal="right"/>
      <protection/>
    </xf>
    <xf numFmtId="0" fontId="0" fillId="0" borderId="148" xfId="67" applyNumberFormat="1" applyFont="1" applyFill="1" applyBorder="1">
      <alignment/>
      <protection/>
    </xf>
    <xf numFmtId="214" fontId="0" fillId="0" borderId="116" xfId="67" applyNumberFormat="1" applyFont="1" applyFill="1" applyBorder="1" applyAlignment="1">
      <alignment horizontal="right"/>
      <protection/>
    </xf>
    <xf numFmtId="215" fontId="0" fillId="0" borderId="116" xfId="67" applyNumberFormat="1" applyFont="1" applyFill="1" applyBorder="1">
      <alignment/>
      <protection/>
    </xf>
    <xf numFmtId="216" fontId="0" fillId="0" borderId="148" xfId="67" applyNumberFormat="1" applyFont="1" applyFill="1" applyBorder="1">
      <alignment/>
      <protection/>
    </xf>
    <xf numFmtId="0" fontId="0" fillId="0" borderId="148" xfId="67" applyNumberFormat="1" applyFont="1" applyFill="1" applyBorder="1" applyAlignment="1">
      <alignment horizontal="right"/>
      <protection/>
    </xf>
    <xf numFmtId="0" fontId="54" fillId="0" borderId="0" xfId="77" applyFont="1" applyFill="1" applyBorder="1" applyAlignment="1" quotePrefix="1">
      <alignment horizontal="left"/>
      <protection/>
    </xf>
    <xf numFmtId="1" fontId="4" fillId="0" borderId="0" xfId="79" applyNumberFormat="1" applyFont="1" applyFill="1" applyAlignment="1" applyProtection="1">
      <alignment horizontal="left"/>
      <protection/>
    </xf>
    <xf numFmtId="1" fontId="4" fillId="0" borderId="0" xfId="79" applyFont="1" applyFill="1">
      <alignment/>
      <protection/>
    </xf>
    <xf numFmtId="38" fontId="4" fillId="0" borderId="0" xfId="49" applyFont="1" applyFill="1" applyAlignment="1">
      <alignment/>
    </xf>
    <xf numFmtId="176" fontId="4" fillId="0" borderId="0" xfId="79" applyNumberFormat="1" applyFont="1" applyFill="1" applyAlignment="1" applyProtection="1">
      <alignment horizontal="left"/>
      <protection/>
    </xf>
    <xf numFmtId="1" fontId="4" fillId="0" borderId="89" xfId="79" applyNumberFormat="1" applyFont="1" applyFill="1" applyBorder="1" applyProtection="1">
      <alignment/>
      <protection/>
    </xf>
    <xf numFmtId="38" fontId="4" fillId="0" borderId="89" xfId="49" applyFont="1" applyFill="1" applyBorder="1" applyAlignment="1" applyProtection="1">
      <alignment/>
      <protection/>
    </xf>
    <xf numFmtId="1" fontId="4" fillId="0" borderId="151" xfId="79" applyNumberFormat="1" applyFont="1" applyFill="1" applyBorder="1" applyProtection="1">
      <alignment/>
      <protection/>
    </xf>
    <xf numFmtId="1" fontId="4" fillId="0" borderId="113" xfId="79" applyNumberFormat="1" applyFont="1" applyFill="1" applyBorder="1" applyAlignment="1" applyProtection="1">
      <alignment horizontal="center"/>
      <protection/>
    </xf>
    <xf numFmtId="38" fontId="4" fillId="0" borderId="113" xfId="49" applyFont="1" applyFill="1" applyBorder="1" applyAlignment="1" applyProtection="1">
      <alignment/>
      <protection locked="0"/>
    </xf>
    <xf numFmtId="1" fontId="4" fillId="0" borderId="113" xfId="79" applyNumberFormat="1" applyFont="1" applyFill="1" applyBorder="1" applyProtection="1">
      <alignment/>
      <protection locked="0"/>
    </xf>
    <xf numFmtId="1" fontId="4" fillId="0" borderId="152" xfId="79" applyNumberFormat="1" applyFont="1" applyFill="1" applyBorder="1" applyProtection="1">
      <alignment/>
      <protection/>
    </xf>
    <xf numFmtId="1" fontId="4" fillId="0" borderId="153" xfId="79" applyNumberFormat="1" applyFont="1" applyFill="1" applyBorder="1" applyProtection="1">
      <alignment/>
      <protection/>
    </xf>
    <xf numFmtId="176" fontId="4" fillId="0" borderId="154" xfId="79" applyNumberFormat="1" applyFont="1" applyFill="1" applyBorder="1" applyProtection="1">
      <alignment/>
      <protection/>
    </xf>
    <xf numFmtId="176" fontId="4" fillId="0" borderId="0" xfId="79" applyNumberFormat="1" applyFont="1" applyFill="1" applyBorder="1" applyProtection="1">
      <alignment/>
      <protection/>
    </xf>
    <xf numFmtId="176" fontId="4" fillId="0" borderId="0" xfId="79" applyNumberFormat="1" applyFont="1" applyFill="1" applyProtection="1">
      <alignment/>
      <protection/>
    </xf>
    <xf numFmtId="1" fontId="53" fillId="0" borderId="0" xfId="79" applyNumberFormat="1" applyFont="1" applyFill="1" applyAlignment="1" applyProtection="1">
      <alignment horizontal="left"/>
      <protection/>
    </xf>
    <xf numFmtId="1" fontId="53" fillId="0" borderId="155" xfId="79" applyNumberFormat="1" applyFont="1" applyFill="1" applyBorder="1" applyAlignment="1" applyProtection="1">
      <alignment horizontal="left" vertical="center"/>
      <protection locked="0"/>
    </xf>
    <xf numFmtId="1" fontId="53" fillId="0" borderId="155" xfId="79" applyNumberFormat="1" applyFont="1" applyFill="1" applyBorder="1" applyAlignment="1" applyProtection="1">
      <alignment horizontal="center" vertical="center"/>
      <protection locked="0"/>
    </xf>
    <xf numFmtId="1" fontId="4" fillId="0" borderId="155" xfId="79" applyNumberFormat="1" applyFont="1" applyFill="1" applyBorder="1" applyProtection="1">
      <alignment/>
      <protection locked="0"/>
    </xf>
    <xf numFmtId="1" fontId="4" fillId="0" borderId="155" xfId="79" applyNumberFormat="1" applyFont="1" applyFill="1" applyBorder="1" applyProtection="1">
      <alignment/>
      <protection/>
    </xf>
    <xf numFmtId="176" fontId="4" fillId="0" borderId="155" xfId="79" applyNumberFormat="1" applyFont="1" applyFill="1" applyBorder="1" applyProtection="1">
      <alignment/>
      <protection/>
    </xf>
    <xf numFmtId="1" fontId="55" fillId="0" borderId="0" xfId="79" applyNumberFormat="1" applyFont="1" applyFill="1" applyBorder="1" applyAlignment="1" applyProtection="1">
      <alignment horizontal="center" vertical="center"/>
      <protection/>
    </xf>
    <xf numFmtId="176" fontId="4" fillId="0" borderId="156" xfId="79" applyNumberFormat="1" applyFont="1" applyFill="1" applyBorder="1" applyProtection="1">
      <alignment/>
      <protection/>
    </xf>
    <xf numFmtId="1" fontId="56" fillId="0" borderId="157" xfId="79" applyNumberFormat="1" applyFont="1" applyFill="1" applyBorder="1" applyAlignment="1" applyProtection="1">
      <alignment horizontal="left"/>
      <protection/>
    </xf>
    <xf numFmtId="1" fontId="56" fillId="0" borderId="158" xfId="79" applyNumberFormat="1" applyFont="1" applyFill="1" applyBorder="1" applyAlignment="1" applyProtection="1">
      <alignment horizontal="left"/>
      <protection/>
    </xf>
    <xf numFmtId="1" fontId="55" fillId="0" borderId="0" xfId="79" applyFont="1" applyFill="1" applyBorder="1" applyAlignment="1">
      <alignment horizontal="center" vertical="center"/>
      <protection/>
    </xf>
    <xf numFmtId="1" fontId="56" fillId="0" borderId="159" xfId="79" applyNumberFormat="1" applyFont="1" applyFill="1" applyBorder="1" applyAlignment="1" applyProtection="1">
      <alignment horizontal="right" vertical="top"/>
      <protection/>
    </xf>
    <xf numFmtId="1" fontId="56" fillId="0" borderId="160" xfId="79" applyNumberFormat="1" applyFont="1" applyFill="1" applyBorder="1" applyAlignment="1" applyProtection="1">
      <alignment horizontal="right" vertical="top"/>
      <protection/>
    </xf>
    <xf numFmtId="176" fontId="4" fillId="0" borderId="156" xfId="79" applyNumberFormat="1" applyFont="1" applyFill="1" applyBorder="1" applyAlignment="1" applyProtection="1">
      <alignment horizontal="center"/>
      <protection/>
    </xf>
    <xf numFmtId="176" fontId="4" fillId="0" borderId="0" xfId="79" applyNumberFormat="1" applyFont="1" applyFill="1" applyAlignment="1" applyProtection="1">
      <alignment horizontal="center"/>
      <protection/>
    </xf>
    <xf numFmtId="1" fontId="4" fillId="0" borderId="161" xfId="79" applyNumberFormat="1" applyFont="1" applyFill="1" applyBorder="1" applyProtection="1">
      <alignment/>
      <protection/>
    </xf>
    <xf numFmtId="1" fontId="57" fillId="0" borderId="162" xfId="79" applyNumberFormat="1" applyFont="1" applyFill="1" applyBorder="1" applyAlignment="1" applyProtection="1" quotePrefix="1">
      <alignment horizontal="center" vertical="center"/>
      <protection/>
    </xf>
    <xf numFmtId="38" fontId="57" fillId="0" borderId="161" xfId="49" applyFont="1" applyFill="1" applyBorder="1" applyAlignment="1" applyProtection="1" quotePrefix="1">
      <alignment horizontal="center" vertical="center"/>
      <protection/>
    </xf>
    <xf numFmtId="1" fontId="57" fillId="0" borderId="163" xfId="79" applyNumberFormat="1" applyFont="1" applyFill="1" applyBorder="1" applyAlignment="1" applyProtection="1" quotePrefix="1">
      <alignment horizontal="center" vertical="center"/>
      <protection/>
    </xf>
    <xf numFmtId="1" fontId="57" fillId="0" borderId="164" xfId="79" applyNumberFormat="1" applyFont="1" applyFill="1" applyBorder="1" applyAlignment="1" applyProtection="1" quotePrefix="1">
      <alignment horizontal="center" vertical="center"/>
      <protection/>
    </xf>
    <xf numFmtId="1" fontId="57" fillId="0" borderId="113" xfId="79" applyNumberFormat="1" applyFont="1" applyFill="1" applyBorder="1" applyAlignment="1" applyProtection="1" quotePrefix="1">
      <alignment horizontal="center" vertical="center"/>
      <protection/>
    </xf>
    <xf numFmtId="1" fontId="57" fillId="0" borderId="165" xfId="79" applyNumberFormat="1" applyFont="1" applyFill="1" applyBorder="1" applyAlignment="1" applyProtection="1" quotePrefix="1">
      <alignment horizontal="center" vertical="center"/>
      <protection/>
    </xf>
    <xf numFmtId="1" fontId="57" fillId="0" borderId="113" xfId="79" applyNumberFormat="1" applyFont="1" applyFill="1" applyBorder="1" applyAlignment="1" applyProtection="1">
      <alignment horizontal="center" vertical="center"/>
      <protection/>
    </xf>
    <xf numFmtId="1" fontId="4" fillId="0" borderId="166" xfId="79" applyNumberFormat="1" applyFont="1" applyFill="1" applyBorder="1" applyProtection="1">
      <alignment/>
      <protection/>
    </xf>
    <xf numFmtId="1" fontId="4" fillId="0" borderId="0" xfId="79" applyNumberFormat="1" applyFont="1" applyFill="1" applyBorder="1" applyProtection="1">
      <alignment/>
      <protection/>
    </xf>
    <xf numFmtId="49" fontId="53" fillId="0" borderId="161" xfId="79" applyNumberFormat="1" applyFont="1" applyFill="1" applyBorder="1" applyAlignment="1" applyProtection="1">
      <alignment horizontal="center" vertical="center"/>
      <protection locked="0"/>
    </xf>
    <xf numFmtId="1" fontId="53" fillId="0" borderId="161" xfId="79" applyNumberFormat="1" applyFont="1" applyFill="1" applyBorder="1" applyAlignment="1" applyProtection="1">
      <alignment horizontal="center" vertical="center"/>
      <protection locked="0"/>
    </xf>
    <xf numFmtId="1" fontId="53" fillId="0" borderId="161" xfId="79" applyNumberFormat="1" applyFont="1" applyFill="1" applyBorder="1" applyAlignment="1" applyProtection="1">
      <alignment horizontal="right" vertical="center"/>
      <protection locked="0"/>
    </xf>
    <xf numFmtId="1" fontId="53" fillId="0" borderId="113" xfId="79" applyNumberFormat="1" applyFont="1" applyFill="1" applyBorder="1" applyAlignment="1" applyProtection="1">
      <alignment vertical="center"/>
      <protection locked="0"/>
    </xf>
    <xf numFmtId="2" fontId="53" fillId="0" borderId="164" xfId="79" applyNumberFormat="1" applyFont="1" applyFill="1" applyBorder="1" applyAlignment="1" applyProtection="1">
      <alignment vertical="center"/>
      <protection locked="0"/>
    </xf>
    <xf numFmtId="1" fontId="53" fillId="0" borderId="113" xfId="79" applyNumberFormat="1" applyFont="1" applyFill="1" applyBorder="1" applyAlignment="1" applyProtection="1">
      <alignment horizontal="right" vertical="center"/>
      <protection locked="0"/>
    </xf>
    <xf numFmtId="1" fontId="53" fillId="24" borderId="113" xfId="79" applyNumberFormat="1" applyFont="1" applyFill="1" applyBorder="1" applyAlignment="1" applyProtection="1">
      <alignment vertical="center"/>
      <protection/>
    </xf>
    <xf numFmtId="1" fontId="53" fillId="0" borderId="164" xfId="79" applyNumberFormat="1" applyFont="1" applyFill="1" applyBorder="1" applyAlignment="1" applyProtection="1">
      <alignment vertical="center"/>
      <protection locked="0"/>
    </xf>
    <xf numFmtId="1" fontId="53" fillId="0" borderId="166" xfId="79" applyNumberFormat="1" applyFont="1" applyFill="1" applyBorder="1" applyAlignment="1" applyProtection="1">
      <alignment vertical="center"/>
      <protection/>
    </xf>
    <xf numFmtId="1" fontId="53" fillId="0" borderId="0" xfId="79" applyNumberFormat="1" applyFont="1" applyFill="1" applyBorder="1" applyAlignment="1" applyProtection="1">
      <alignment vertical="center"/>
      <protection/>
    </xf>
    <xf numFmtId="1" fontId="53" fillId="0" borderId="167" xfId="79" applyNumberFormat="1" applyFont="1" applyFill="1" applyBorder="1" applyAlignment="1" applyProtection="1">
      <alignment vertical="center"/>
      <protection/>
    </xf>
    <xf numFmtId="1" fontId="53" fillId="0" borderId="113" xfId="79" applyNumberFormat="1" applyFont="1" applyFill="1" applyBorder="1" applyAlignment="1" applyProtection="1">
      <alignment vertical="center"/>
      <protection/>
    </xf>
    <xf numFmtId="38" fontId="53" fillId="0" borderId="161" xfId="49" applyFont="1" applyFill="1" applyBorder="1" applyAlignment="1" applyProtection="1">
      <alignment vertical="center"/>
      <protection locked="0"/>
    </xf>
    <xf numFmtId="1" fontId="53" fillId="0" borderId="113" xfId="79" applyNumberFormat="1" applyFont="1" applyFill="1" applyBorder="1" applyAlignment="1" applyProtection="1" quotePrefix="1">
      <alignment vertical="center"/>
      <protection/>
    </xf>
    <xf numFmtId="1" fontId="53" fillId="0" borderId="168" xfId="79" applyNumberFormat="1" applyFont="1" applyFill="1" applyBorder="1" applyAlignment="1" applyProtection="1">
      <alignment vertical="center"/>
      <protection/>
    </xf>
    <xf numFmtId="1" fontId="53" fillId="0" borderId="164" xfId="79" applyNumberFormat="1" applyFont="1" applyFill="1" applyBorder="1" applyAlignment="1" applyProtection="1">
      <alignment vertical="center"/>
      <protection/>
    </xf>
    <xf numFmtId="1" fontId="4" fillId="0" borderId="156" xfId="79" applyNumberFormat="1" applyFont="1" applyFill="1" applyBorder="1" applyProtection="1">
      <alignment/>
      <protection/>
    </xf>
    <xf numFmtId="1" fontId="4" fillId="0" borderId="0" xfId="79" applyFont="1" applyFill="1" applyAlignment="1">
      <alignment horizontal="right" vertical="center"/>
      <protection/>
    </xf>
    <xf numFmtId="49" fontId="53" fillId="0" borderId="161" xfId="78" applyNumberFormat="1" applyFont="1" applyFill="1" applyBorder="1" applyAlignment="1" applyProtection="1">
      <alignment horizontal="center" vertical="center"/>
      <protection locked="0"/>
    </xf>
    <xf numFmtId="1" fontId="53" fillId="0" borderId="161" xfId="78" applyNumberFormat="1" applyFont="1" applyFill="1" applyBorder="1" applyAlignment="1" applyProtection="1">
      <alignment horizontal="center" vertical="center"/>
      <protection locked="0"/>
    </xf>
    <xf numFmtId="1" fontId="53" fillId="0" borderId="113" xfId="78" applyNumberFormat="1" applyFont="1" applyFill="1" applyBorder="1" applyAlignment="1" applyProtection="1">
      <alignment vertical="center"/>
      <protection locked="0"/>
    </xf>
    <xf numFmtId="1" fontId="53" fillId="0" borderId="164" xfId="78" applyNumberFormat="1" applyFont="1" applyFill="1" applyBorder="1" applyAlignment="1" applyProtection="1">
      <alignment vertical="center"/>
      <protection/>
    </xf>
    <xf numFmtId="1" fontId="53" fillId="0" borderId="113" xfId="78" applyNumberFormat="1" applyFont="1" applyFill="1" applyBorder="1" applyAlignment="1" applyProtection="1">
      <alignment vertical="center"/>
      <protection/>
    </xf>
    <xf numFmtId="1" fontId="53" fillId="0" borderId="113" xfId="78" applyNumberFormat="1" applyFont="1" applyFill="1" applyBorder="1" applyAlignment="1" applyProtection="1" quotePrefix="1">
      <alignment vertical="center"/>
      <protection/>
    </xf>
    <xf numFmtId="49" fontId="53" fillId="0" borderId="161" xfId="79" applyNumberFormat="1" applyFont="1" applyFill="1" applyBorder="1" applyAlignment="1" applyProtection="1">
      <alignment vertical="center"/>
      <protection/>
    </xf>
    <xf numFmtId="1" fontId="53" fillId="0" borderId="161" xfId="79" applyNumberFormat="1" applyFont="1" applyFill="1" applyBorder="1" applyAlignment="1" applyProtection="1">
      <alignment vertical="center"/>
      <protection/>
    </xf>
    <xf numFmtId="38" fontId="53" fillId="0" borderId="161" xfId="49" applyFont="1" applyFill="1" applyBorder="1" applyAlignment="1" applyProtection="1">
      <alignment vertical="center"/>
      <protection/>
    </xf>
    <xf numFmtId="1" fontId="53" fillId="0" borderId="156" xfId="79" applyNumberFormat="1" applyFont="1" applyFill="1" applyBorder="1" applyAlignment="1" applyProtection="1">
      <alignment horizontal="left" vertical="center"/>
      <protection/>
    </xf>
    <xf numFmtId="38" fontId="53" fillId="24" borderId="156" xfId="49" applyFont="1" applyFill="1" applyBorder="1" applyAlignment="1" applyProtection="1">
      <alignment vertical="center"/>
      <protection/>
    </xf>
    <xf numFmtId="1" fontId="53" fillId="24" borderId="157" xfId="79" applyNumberFormat="1" applyFont="1" applyFill="1" applyBorder="1" applyAlignment="1" applyProtection="1">
      <alignment vertical="center"/>
      <protection/>
    </xf>
    <xf numFmtId="1" fontId="53" fillId="24" borderId="158" xfId="79" applyNumberFormat="1" applyFont="1" applyFill="1" applyBorder="1" applyAlignment="1" applyProtection="1">
      <alignment vertical="center"/>
      <protection/>
    </xf>
    <xf numFmtId="1" fontId="53" fillId="24" borderId="157" xfId="79" applyNumberFormat="1" applyFont="1" applyFill="1" applyBorder="1" applyAlignment="1" applyProtection="1">
      <alignment vertical="center" shrinkToFit="1"/>
      <protection/>
    </xf>
    <xf numFmtId="1" fontId="53" fillId="0" borderId="169" xfId="79" applyNumberFormat="1" applyFont="1" applyFill="1" applyBorder="1" applyAlignment="1" applyProtection="1">
      <alignment vertical="center"/>
      <protection/>
    </xf>
    <xf numFmtId="1" fontId="4" fillId="0" borderId="170" xfId="79" applyNumberFormat="1" applyFont="1" applyFill="1" applyBorder="1" applyProtection="1">
      <alignment/>
      <protection/>
    </xf>
    <xf numFmtId="1" fontId="57" fillId="0" borderId="171" xfId="79" applyNumberFormat="1" applyFont="1" applyFill="1" applyBorder="1" applyAlignment="1" applyProtection="1" quotePrefix="1">
      <alignment horizontal="center" vertical="center"/>
      <protection/>
    </xf>
    <xf numFmtId="38" fontId="57" fillId="0" borderId="170" xfId="49" applyFont="1" applyFill="1" applyBorder="1" applyAlignment="1" applyProtection="1" quotePrefix="1">
      <alignment horizontal="center" vertical="center"/>
      <protection/>
    </xf>
    <xf numFmtId="1" fontId="57" fillId="0" borderId="172" xfId="79" applyNumberFormat="1" applyFont="1" applyFill="1" applyBorder="1" applyAlignment="1" applyProtection="1" quotePrefix="1">
      <alignment horizontal="center" vertical="center"/>
      <protection/>
    </xf>
    <xf numFmtId="1" fontId="57" fillId="0" borderId="173" xfId="79" applyNumberFormat="1" applyFont="1" applyFill="1" applyBorder="1" applyAlignment="1" applyProtection="1" quotePrefix="1">
      <alignment horizontal="center" vertical="center"/>
      <protection/>
    </xf>
    <xf numFmtId="1" fontId="57" fillId="0" borderId="174" xfId="79" applyNumberFormat="1" applyFont="1" applyFill="1" applyBorder="1" applyAlignment="1" applyProtection="1" quotePrefix="1">
      <alignment horizontal="center" vertical="center"/>
      <protection/>
    </xf>
    <xf numFmtId="1" fontId="57" fillId="0" borderId="175" xfId="79" applyNumberFormat="1" applyFont="1" applyFill="1" applyBorder="1" applyAlignment="1" applyProtection="1" quotePrefix="1">
      <alignment horizontal="center" vertical="center"/>
      <protection/>
    </xf>
    <xf numFmtId="1" fontId="57" fillId="0" borderId="174" xfId="79" applyNumberFormat="1" applyFont="1" applyFill="1" applyBorder="1" applyAlignment="1" applyProtection="1">
      <alignment horizontal="center" vertical="center"/>
      <protection/>
    </xf>
    <xf numFmtId="1" fontId="4" fillId="0" borderId="176" xfId="79" applyNumberFormat="1" applyFont="1" applyFill="1" applyBorder="1" applyProtection="1">
      <alignment/>
      <protection/>
    </xf>
    <xf numFmtId="1" fontId="56" fillId="0" borderId="177" xfId="79" applyNumberFormat="1" applyFont="1" applyFill="1" applyBorder="1" applyAlignment="1" applyProtection="1">
      <alignment horizontal="left"/>
      <protection/>
    </xf>
    <xf numFmtId="1" fontId="56" fillId="0" borderId="178" xfId="79" applyNumberFormat="1" applyFont="1" applyFill="1" applyBorder="1" applyAlignment="1" applyProtection="1">
      <alignment horizontal="left"/>
      <protection/>
    </xf>
    <xf numFmtId="1" fontId="44" fillId="0" borderId="113" xfId="79" applyNumberFormat="1" applyFont="1" applyFill="1" applyBorder="1" applyAlignment="1" applyProtection="1" quotePrefix="1">
      <alignment vertical="center"/>
      <protection/>
    </xf>
    <xf numFmtId="0" fontId="5" fillId="0" borderId="76" xfId="0" applyFont="1" applyFill="1" applyBorder="1" applyAlignment="1" applyProtection="1" quotePrefix="1">
      <alignment horizontal="center" vertical="center" shrinkToFit="1"/>
      <protection/>
    </xf>
    <xf numFmtId="217" fontId="5" fillId="0" borderId="48" xfId="0" applyNumberFormat="1" applyFont="1" applyFill="1" applyBorder="1" applyAlignment="1" applyProtection="1">
      <alignment horizontal="center" vertical="center" shrinkToFit="1"/>
      <protection/>
    </xf>
    <xf numFmtId="218" fontId="5" fillId="0" borderId="49" xfId="0" applyNumberFormat="1" applyFont="1" applyFill="1" applyBorder="1" applyAlignment="1" applyProtection="1">
      <alignment horizontal="center" vertical="center" shrinkToFit="1"/>
      <protection/>
    </xf>
    <xf numFmtId="196" fontId="5" fillId="0" borderId="77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19" fillId="0" borderId="0" xfId="0" applyFont="1" applyAlignment="1" applyProtection="1" quotePrefix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 quotePrefix="1">
      <alignment horizontal="center" vertical="center"/>
      <protection/>
    </xf>
    <xf numFmtId="0" fontId="5" fillId="0" borderId="179" xfId="0" applyFont="1" applyFill="1" applyBorder="1" applyAlignment="1" applyProtection="1" quotePrefix="1">
      <alignment horizontal="center" vertical="center"/>
      <protection/>
    </xf>
    <xf numFmtId="0" fontId="5" fillId="0" borderId="180" xfId="0" applyFont="1" applyFill="1" applyBorder="1" applyAlignment="1" applyProtection="1" quotePrefix="1">
      <alignment horizontal="center" vertical="center"/>
      <protection/>
    </xf>
    <xf numFmtId="0" fontId="5" fillId="0" borderId="181" xfId="0" applyFont="1" applyFill="1" applyBorder="1" applyAlignment="1" applyProtection="1" quotePrefix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63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67" xfId="0" applyFont="1" applyFill="1" applyBorder="1" applyAlignment="1" applyProtection="1">
      <alignment horizontal="center" vertical="center" shrinkToFit="1"/>
      <protection/>
    </xf>
    <xf numFmtId="179" fontId="5" fillId="0" borderId="21" xfId="0" applyNumberFormat="1" applyFont="1" applyBorder="1" applyAlignment="1" applyProtection="1" quotePrefix="1">
      <alignment horizontal="center" vertical="center"/>
      <protection/>
    </xf>
    <xf numFmtId="179" fontId="5" fillId="0" borderId="12" xfId="0" applyNumberFormat="1" applyFont="1" applyBorder="1" applyAlignment="1" applyProtection="1" quotePrefix="1">
      <alignment horizontal="center" vertical="center"/>
      <protection/>
    </xf>
    <xf numFmtId="179" fontId="5" fillId="0" borderId="40" xfId="0" applyNumberFormat="1" applyFont="1" applyBorder="1" applyAlignment="1" applyProtection="1" quotePrefix="1">
      <alignment horizontal="center" vertical="center"/>
      <protection/>
    </xf>
    <xf numFmtId="179" fontId="5" fillId="0" borderId="10" xfId="0" applyNumberFormat="1" applyFont="1" applyBorder="1" applyAlignment="1" applyProtection="1" quotePrefix="1">
      <alignment horizontal="center" vertical="center"/>
      <protection/>
    </xf>
    <xf numFmtId="179" fontId="5" fillId="0" borderId="11" xfId="0" applyNumberFormat="1" applyFont="1" applyBorder="1" applyAlignment="1" applyProtection="1" quotePrefix="1">
      <alignment horizontal="center" vertical="center"/>
      <protection/>
    </xf>
    <xf numFmtId="179" fontId="5" fillId="0" borderId="32" xfId="0" applyNumberFormat="1" applyFont="1" applyBorder="1" applyAlignment="1" applyProtection="1" quotePrefix="1">
      <alignment horizontal="center" vertical="center"/>
      <protection/>
    </xf>
    <xf numFmtId="179" fontId="5" fillId="0" borderId="11" xfId="0" applyNumberFormat="1" applyFont="1" applyBorder="1" applyAlignment="1" applyProtection="1">
      <alignment horizontal="center" vertical="center"/>
      <protection/>
    </xf>
    <xf numFmtId="179" fontId="5" fillId="0" borderId="36" xfId="0" applyNumberFormat="1" applyFont="1" applyBorder="1" applyAlignment="1" applyProtection="1" quotePrefix="1">
      <alignment horizontal="center" vertical="center"/>
      <protection/>
    </xf>
    <xf numFmtId="179" fontId="5" fillId="0" borderId="38" xfId="0" applyNumberFormat="1" applyFont="1" applyBorder="1" applyAlignment="1" applyProtection="1" quotePrefix="1">
      <alignment horizontal="center" vertical="center"/>
      <protection/>
    </xf>
    <xf numFmtId="179" fontId="5" fillId="0" borderId="182" xfId="0" applyNumberFormat="1" applyFont="1" applyBorder="1" applyAlignment="1" applyProtection="1" quotePrefix="1">
      <alignment horizontal="center" vertical="center"/>
      <protection/>
    </xf>
    <xf numFmtId="0" fontId="7" fillId="0" borderId="0" xfId="0" applyFont="1" applyAlignment="1" applyProtection="1" quotePrefix="1">
      <alignment horizontal="center" vertical="center"/>
      <protection/>
    </xf>
    <xf numFmtId="179" fontId="9" fillId="0" borderId="12" xfId="0" applyNumberFormat="1" applyFont="1" applyBorder="1" applyAlignment="1" applyProtection="1">
      <alignment horizontal="center" vertical="center"/>
      <protection/>
    </xf>
    <xf numFmtId="180" fontId="9" fillId="0" borderId="12" xfId="0" applyNumberFormat="1" applyFont="1" applyBorder="1" applyAlignment="1" applyProtection="1">
      <alignment horizontal="center" vertical="center"/>
      <protection/>
    </xf>
    <xf numFmtId="179" fontId="5" fillId="0" borderId="37" xfId="0" applyNumberFormat="1" applyFont="1" applyBorder="1" applyAlignment="1" applyProtection="1" quotePrefix="1">
      <alignment horizontal="center" vertical="center"/>
      <protection/>
    </xf>
    <xf numFmtId="179" fontId="5" fillId="0" borderId="38" xfId="0" applyNumberFormat="1" applyFont="1" applyBorder="1" applyAlignment="1" applyProtection="1">
      <alignment horizontal="center" vertical="center"/>
      <protection/>
    </xf>
    <xf numFmtId="179" fontId="5" fillId="0" borderId="56" xfId="0" applyNumberFormat="1" applyFont="1" applyBorder="1" applyAlignment="1" applyProtection="1">
      <alignment horizontal="center" vertical="center"/>
      <protection/>
    </xf>
    <xf numFmtId="179" fontId="5" fillId="0" borderId="56" xfId="0" applyNumberFormat="1" applyFont="1" applyBorder="1" applyAlignment="1" applyProtection="1" quotePrefix="1">
      <alignment horizontal="center" vertical="center"/>
      <protection/>
    </xf>
    <xf numFmtId="179" fontId="5" fillId="0" borderId="93" xfId="0" applyNumberFormat="1" applyFont="1" applyBorder="1" applyAlignment="1" applyProtection="1" quotePrefix="1">
      <alignment horizontal="center" vertical="center"/>
      <protection/>
    </xf>
    <xf numFmtId="179" fontId="5" fillId="0" borderId="95" xfId="0" applyNumberFormat="1" applyFont="1" applyBorder="1" applyAlignment="1" applyProtection="1" quotePrefix="1">
      <alignment horizontal="center" vertical="center"/>
      <protection/>
    </xf>
    <xf numFmtId="179" fontId="5" fillId="0" borderId="183" xfId="0" applyNumberFormat="1" applyFont="1" applyBorder="1" applyAlignment="1" applyProtection="1" quotePrefix="1">
      <alignment horizontal="center" vertical="center"/>
      <protection/>
    </xf>
    <xf numFmtId="179" fontId="5" fillId="0" borderId="184" xfId="0" applyNumberFormat="1" applyFont="1" applyBorder="1" applyAlignment="1" applyProtection="1" quotePrefix="1">
      <alignment horizontal="center" vertical="center"/>
      <protection/>
    </xf>
    <xf numFmtId="179" fontId="5" fillId="0" borderId="94" xfId="0" applyNumberFormat="1" applyFont="1" applyBorder="1" applyAlignment="1" applyProtection="1" quotePrefix="1">
      <alignment horizontal="center" vertical="center"/>
      <protection/>
    </xf>
    <xf numFmtId="185" fontId="5" fillId="0" borderId="49" xfId="0" applyNumberFormat="1" applyFont="1" applyFill="1" applyBorder="1" applyAlignment="1" applyProtection="1">
      <alignment horizontal="center" vertical="center" shrinkToFit="1"/>
      <protection/>
    </xf>
    <xf numFmtId="185" fontId="5" fillId="0" borderId="67" xfId="0" applyNumberFormat="1" applyFont="1" applyFill="1" applyBorder="1" applyAlignment="1" applyProtection="1">
      <alignment horizontal="center" vertical="center" shrinkToFit="1"/>
      <protection/>
    </xf>
    <xf numFmtId="180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69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49" xfId="0" applyNumberFormat="1" applyFont="1" applyFill="1" applyBorder="1" applyAlignment="1" applyProtection="1">
      <alignment horizontal="right" vertical="center" shrinkToFit="1"/>
      <protection/>
    </xf>
    <xf numFmtId="185" fontId="5" fillId="0" borderId="11" xfId="0" applyNumberFormat="1" applyFont="1" applyFill="1" applyBorder="1" applyAlignment="1" applyProtection="1">
      <alignment horizontal="right" vertical="center" shrinkToFit="1"/>
      <protection/>
    </xf>
    <xf numFmtId="185" fontId="5" fillId="0" borderId="10" xfId="0" applyNumberFormat="1" applyFont="1" applyFill="1" applyBorder="1" applyAlignment="1" applyProtection="1">
      <alignment horizontal="right" vertical="center" shrinkToFit="1"/>
      <protection/>
    </xf>
    <xf numFmtId="185" fontId="5" fillId="0" borderId="129" xfId="0" applyNumberFormat="1" applyFont="1" applyFill="1" applyBorder="1" applyAlignment="1" applyProtection="1">
      <alignment horizontal="right" vertical="center" shrinkToFit="1"/>
      <protection/>
    </xf>
    <xf numFmtId="179" fontId="5" fillId="0" borderId="23" xfId="0" applyNumberFormat="1" applyFont="1" applyFill="1" applyBorder="1" applyAlignment="1" applyProtection="1" quotePrefix="1">
      <alignment horizontal="center" vertical="center"/>
      <protection/>
    </xf>
    <xf numFmtId="179" fontId="5" fillId="0" borderId="185" xfId="0" applyNumberFormat="1" applyFont="1" applyFill="1" applyBorder="1" applyAlignment="1" applyProtection="1" quotePrefix="1">
      <alignment horizontal="center" vertical="center"/>
      <protection/>
    </xf>
    <xf numFmtId="180" fontId="5" fillId="0" borderId="12" xfId="0" applyNumberFormat="1" applyFont="1" applyFill="1" applyBorder="1" applyAlignment="1" applyProtection="1" quotePrefix="1">
      <alignment horizontal="center" vertical="center"/>
      <protection/>
    </xf>
    <xf numFmtId="180" fontId="5" fillId="0" borderId="41" xfId="0" applyNumberFormat="1" applyFont="1" applyFill="1" applyBorder="1" applyAlignment="1" applyProtection="1" quotePrefix="1">
      <alignment horizontal="center" vertical="center"/>
      <protection/>
    </xf>
    <xf numFmtId="179" fontId="5" fillId="0" borderId="136" xfId="0" applyNumberFormat="1" applyFont="1" applyFill="1" applyBorder="1" applyAlignment="1" applyProtection="1" quotePrefix="1">
      <alignment horizontal="center" vertical="center"/>
      <protection locked="0"/>
    </xf>
    <xf numFmtId="179" fontId="5" fillId="0" borderId="28" xfId="0" applyNumberFormat="1" applyFont="1" applyFill="1" applyBorder="1" applyAlignment="1" applyProtection="1" quotePrefix="1">
      <alignment horizontal="center" vertical="center"/>
      <protection locked="0"/>
    </xf>
    <xf numFmtId="180" fontId="5" fillId="0" borderId="10" xfId="0" applyNumberFormat="1" applyFont="1" applyFill="1" applyBorder="1" applyAlignment="1" applyProtection="1" quotePrefix="1">
      <alignment horizontal="center" vertical="center"/>
      <protection/>
    </xf>
    <xf numFmtId="180" fontId="5" fillId="0" borderId="11" xfId="0" applyNumberFormat="1" applyFont="1" applyFill="1" applyBorder="1" applyAlignment="1" applyProtection="1" quotePrefix="1">
      <alignment horizontal="center" vertical="center"/>
      <protection/>
    </xf>
    <xf numFmtId="180" fontId="5" fillId="0" borderId="186" xfId="0" applyNumberFormat="1" applyFont="1" applyFill="1" applyBorder="1" applyAlignment="1" applyProtection="1" quotePrefix="1">
      <alignment horizontal="center" vertical="center"/>
      <protection/>
    </xf>
    <xf numFmtId="180" fontId="5" fillId="0" borderId="110" xfId="0" applyNumberFormat="1" applyFont="1" applyFill="1" applyBorder="1" applyAlignment="1" applyProtection="1" quotePrefix="1">
      <alignment horizontal="center" vertical="center"/>
      <protection/>
    </xf>
    <xf numFmtId="180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179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48" xfId="0" applyNumberFormat="1" applyFont="1" applyFill="1" applyBorder="1" applyAlignment="1" applyProtection="1">
      <alignment horizontal="center" vertical="center" shrinkToFit="1"/>
      <protection/>
    </xf>
    <xf numFmtId="185" fontId="5" fillId="0" borderId="0" xfId="0" applyNumberFormat="1" applyFont="1" applyFill="1" applyBorder="1" applyAlignment="1" applyProtection="1">
      <alignment horizontal="center" vertical="center" shrinkToFit="1"/>
      <protection/>
    </xf>
    <xf numFmtId="180" fontId="5" fillId="0" borderId="37" xfId="0" applyNumberFormat="1" applyFont="1" applyFill="1" applyBorder="1" applyAlignment="1" applyProtection="1" quotePrefix="1">
      <alignment horizontal="center" vertical="center"/>
      <protection/>
    </xf>
    <xf numFmtId="180" fontId="5" fillId="0" borderId="38" xfId="0" applyNumberFormat="1" applyFont="1" applyFill="1" applyBorder="1" applyAlignment="1" applyProtection="1" quotePrefix="1">
      <alignment horizontal="center" vertical="center"/>
      <protection/>
    </xf>
    <xf numFmtId="180" fontId="5" fillId="0" borderId="56" xfId="0" applyNumberFormat="1" applyFont="1" applyFill="1" applyBorder="1" applyAlignment="1" applyProtection="1" quotePrefix="1">
      <alignment horizontal="center" vertical="center"/>
      <protection/>
    </xf>
    <xf numFmtId="180" fontId="5" fillId="0" borderId="36" xfId="0" applyNumberFormat="1" applyFont="1" applyFill="1" applyBorder="1" applyAlignment="1" applyProtection="1" quotePrefix="1">
      <alignment horizontal="center" vertical="center"/>
      <protection/>
    </xf>
    <xf numFmtId="185" fontId="5" fillId="0" borderId="67" xfId="0" applyNumberFormat="1" applyFont="1" applyFill="1" applyBorder="1" applyAlignment="1" applyProtection="1">
      <alignment horizontal="right" vertical="center" shrinkToFit="1"/>
      <protection/>
    </xf>
    <xf numFmtId="180" fontId="5" fillId="0" borderId="187" xfId="0" applyNumberFormat="1" applyFont="1" applyFill="1" applyBorder="1" applyAlignment="1" applyProtection="1" quotePrefix="1">
      <alignment horizontal="center" vertical="center"/>
      <protection/>
    </xf>
    <xf numFmtId="180" fontId="5" fillId="0" borderId="188" xfId="0" applyNumberFormat="1" applyFont="1" applyFill="1" applyBorder="1" applyAlignment="1" applyProtection="1" quotePrefix="1">
      <alignment horizontal="center" vertical="center"/>
      <protection/>
    </xf>
    <xf numFmtId="185" fontId="5" fillId="0" borderId="63" xfId="0" applyNumberFormat="1" applyFont="1" applyFill="1" applyBorder="1" applyAlignment="1" applyProtection="1">
      <alignment horizontal="center" vertical="center" shrinkToFit="1"/>
      <protection/>
    </xf>
    <xf numFmtId="185" fontId="5" fillId="0" borderId="48" xfId="0" applyNumberFormat="1" applyFont="1" applyFill="1" applyBorder="1" applyAlignment="1" applyProtection="1">
      <alignment horizontal="right" vertical="center" shrinkToFit="1"/>
      <protection/>
    </xf>
    <xf numFmtId="185" fontId="5" fillId="0" borderId="63" xfId="0" applyNumberFormat="1" applyFont="1" applyFill="1" applyBorder="1" applyAlignment="1" applyProtection="1">
      <alignment horizontal="right" vertical="center" shrinkToFit="1"/>
      <protection/>
    </xf>
    <xf numFmtId="179" fontId="5" fillId="0" borderId="36" xfId="0" applyNumberFormat="1" applyFont="1" applyFill="1" applyBorder="1" applyAlignment="1" applyProtection="1" quotePrefix="1">
      <alignment horizontal="center" vertical="center"/>
      <protection/>
    </xf>
    <xf numFmtId="179" fontId="5" fillId="0" borderId="182" xfId="0" applyNumberFormat="1" applyFont="1" applyFill="1" applyBorder="1" applyAlignment="1" applyProtection="1" quotePrefix="1">
      <alignment horizontal="center" vertical="center"/>
      <protection/>
    </xf>
    <xf numFmtId="180" fontId="9" fillId="0" borderId="12" xfId="0" applyNumberFormat="1" applyFont="1" applyFill="1" applyBorder="1" applyAlignment="1" applyProtection="1">
      <alignment horizontal="center" vertical="center"/>
      <protection/>
    </xf>
    <xf numFmtId="185" fontId="5" fillId="0" borderId="80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63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40" xfId="0" applyNumberFormat="1" applyFont="1" applyFill="1" applyBorder="1" applyAlignment="1" applyProtection="1" quotePrefix="1">
      <alignment horizontal="center" vertical="center"/>
      <protection/>
    </xf>
    <xf numFmtId="180" fontId="5" fillId="0" borderId="32" xfId="0" applyNumberFormat="1" applyFont="1" applyFill="1" applyBorder="1" applyAlignment="1" applyProtection="1" quotePrefix="1">
      <alignment horizontal="center" vertical="center"/>
      <protection/>
    </xf>
    <xf numFmtId="185" fontId="5" fillId="0" borderId="32" xfId="0" applyNumberFormat="1" applyFont="1" applyFill="1" applyBorder="1" applyAlignment="1" applyProtection="1" quotePrefix="1">
      <alignment horizontal="left" vertical="center" shrinkToFit="1"/>
      <protection locked="0"/>
    </xf>
    <xf numFmtId="185" fontId="5" fillId="0" borderId="11" xfId="0" applyNumberFormat="1" applyFont="1" applyFill="1" applyBorder="1" applyAlignment="1" applyProtection="1" quotePrefix="1">
      <alignment horizontal="left" vertical="center" shrinkToFit="1"/>
      <protection locked="0"/>
    </xf>
    <xf numFmtId="185" fontId="5" fillId="0" borderId="189" xfId="0" applyNumberFormat="1" applyFont="1" applyFill="1" applyBorder="1" applyAlignment="1" applyProtection="1" quotePrefix="1">
      <alignment horizontal="left" vertical="center" shrinkToFit="1"/>
      <protection locked="0"/>
    </xf>
    <xf numFmtId="179" fontId="5" fillId="0" borderId="83" xfId="0" applyNumberFormat="1" applyFont="1" applyFill="1" applyBorder="1" applyAlignment="1" applyProtection="1" quotePrefix="1">
      <alignment horizontal="center" vertical="center"/>
      <protection locked="0"/>
    </xf>
    <xf numFmtId="179" fontId="5" fillId="0" borderId="73" xfId="0" applyNumberFormat="1" applyFont="1" applyFill="1" applyBorder="1" applyAlignment="1" applyProtection="1" quotePrefix="1">
      <alignment horizontal="center" vertical="center"/>
      <protection locked="0"/>
    </xf>
    <xf numFmtId="179" fontId="7" fillId="0" borderId="0" xfId="0" applyNumberFormat="1" applyFont="1" applyFill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79" fontId="5" fillId="0" borderId="93" xfId="0" applyNumberFormat="1" applyFont="1" applyFill="1" applyBorder="1" applyAlignment="1" applyProtection="1" quotePrefix="1">
      <alignment horizontal="center" vertical="center"/>
      <protection/>
    </xf>
    <xf numFmtId="179" fontId="5" fillId="0" borderId="183" xfId="0" applyNumberFormat="1" applyFont="1" applyFill="1" applyBorder="1" applyAlignment="1" applyProtection="1" quotePrefix="1">
      <alignment horizontal="center" vertical="center"/>
      <protection/>
    </xf>
    <xf numFmtId="180" fontId="5" fillId="0" borderId="184" xfId="0" applyNumberFormat="1" applyFont="1" applyFill="1" applyBorder="1" applyAlignment="1" applyProtection="1" quotePrefix="1">
      <alignment horizontal="center" vertical="center"/>
      <protection/>
    </xf>
    <xf numFmtId="180" fontId="5" fillId="0" borderId="95" xfId="0" applyNumberFormat="1" applyFont="1" applyFill="1" applyBorder="1" applyAlignment="1" applyProtection="1" quotePrefix="1">
      <alignment horizontal="center" vertical="center"/>
      <protection/>
    </xf>
    <xf numFmtId="180" fontId="5" fillId="0" borderId="183" xfId="0" applyNumberFormat="1" applyFont="1" applyFill="1" applyBorder="1" applyAlignment="1" applyProtection="1" quotePrefix="1">
      <alignment horizontal="center" vertical="center"/>
      <protection/>
    </xf>
    <xf numFmtId="180" fontId="5" fillId="0" borderId="190" xfId="0" applyNumberFormat="1" applyFont="1" applyFill="1" applyBorder="1" applyAlignment="1" applyProtection="1" quotePrefix="1">
      <alignment horizontal="center" vertical="center"/>
      <protection/>
    </xf>
    <xf numFmtId="180" fontId="9" fillId="0" borderId="12" xfId="0" applyNumberFormat="1" applyFont="1" applyFill="1" applyBorder="1" applyAlignment="1" applyProtection="1" quotePrefix="1">
      <alignment horizontal="center" vertical="center"/>
      <protection/>
    </xf>
    <xf numFmtId="180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182" xfId="0" applyNumberFormat="1" applyFont="1" applyFill="1" applyBorder="1" applyAlignment="1" applyProtection="1" quotePrefix="1">
      <alignment horizontal="center" vertical="center"/>
      <protection/>
    </xf>
    <xf numFmtId="180" fontId="9" fillId="0" borderId="12" xfId="0" applyNumberFormat="1" applyFont="1" applyFill="1" applyBorder="1" applyAlignment="1" applyProtection="1">
      <alignment horizontal="center" vertical="center"/>
      <protection locked="0"/>
    </xf>
    <xf numFmtId="180" fontId="5" fillId="0" borderId="191" xfId="0" applyNumberFormat="1" applyFont="1" applyFill="1" applyBorder="1" applyAlignment="1" applyProtection="1" quotePrefix="1">
      <alignment horizontal="center" vertical="center"/>
      <protection/>
    </xf>
    <xf numFmtId="180" fontId="5" fillId="0" borderId="192" xfId="0" applyNumberFormat="1" applyFont="1" applyFill="1" applyBorder="1" applyAlignment="1" applyProtection="1" quotePrefix="1">
      <alignment horizontal="center" vertical="center"/>
      <protection/>
    </xf>
    <xf numFmtId="180" fontId="5" fillId="0" borderId="193" xfId="0" applyNumberFormat="1" applyFont="1" applyFill="1" applyBorder="1" applyAlignment="1" applyProtection="1" quotePrefix="1">
      <alignment horizontal="center" vertical="center"/>
      <protection/>
    </xf>
    <xf numFmtId="180" fontId="5" fillId="0" borderId="106" xfId="0" applyNumberFormat="1" applyFont="1" applyFill="1" applyBorder="1" applyAlignment="1" applyProtection="1" quotePrefix="1">
      <alignment horizontal="center" vertical="center"/>
      <protection/>
    </xf>
    <xf numFmtId="185" fontId="5" fillId="0" borderId="11" xfId="0" applyNumberFormat="1" applyFont="1" applyFill="1" applyBorder="1" applyAlignment="1" applyProtection="1">
      <alignment horizontal="center" vertical="center" shrinkToFit="1"/>
      <protection/>
    </xf>
    <xf numFmtId="49" fontId="5" fillId="0" borderId="29" xfId="0" applyNumberFormat="1" applyFont="1" applyFill="1" applyBorder="1" applyAlignment="1" applyProtection="1">
      <alignment horizontal="right" vertical="center" shrinkToFit="1"/>
      <protection/>
    </xf>
    <xf numFmtId="49" fontId="5" fillId="0" borderId="11" xfId="0" applyNumberFormat="1" applyFont="1" applyFill="1" applyBorder="1" applyAlignment="1" applyProtection="1">
      <alignment horizontal="right" vertical="center" shrinkToFit="1"/>
      <protection/>
    </xf>
    <xf numFmtId="49" fontId="5" fillId="0" borderId="189" xfId="0" applyNumberFormat="1" applyFont="1" applyFill="1" applyBorder="1" applyAlignment="1" applyProtection="1">
      <alignment horizontal="right" vertical="center" shrinkToFit="1"/>
      <protection/>
    </xf>
    <xf numFmtId="180" fontId="10" fillId="0" borderId="45" xfId="0" applyNumberFormat="1" applyFont="1" applyFill="1" applyBorder="1" applyAlignment="1" applyProtection="1">
      <alignment horizontal="center" vertical="center"/>
      <protection/>
    </xf>
    <xf numFmtId="180" fontId="10" fillId="0" borderId="194" xfId="0" applyNumberFormat="1" applyFont="1" applyFill="1" applyBorder="1" applyAlignment="1" applyProtection="1">
      <alignment horizontal="center" vertical="center"/>
      <protection/>
    </xf>
    <xf numFmtId="180" fontId="10" fillId="0" borderId="21" xfId="0" applyNumberFormat="1" applyFont="1" applyFill="1" applyBorder="1" applyAlignment="1" applyProtection="1" quotePrefix="1">
      <alignment horizontal="center" vertical="center"/>
      <protection/>
    </xf>
    <xf numFmtId="180" fontId="10" fillId="0" borderId="12" xfId="0" applyNumberFormat="1" applyFont="1" applyFill="1" applyBorder="1" applyAlignment="1" applyProtection="1" quotePrefix="1">
      <alignment horizontal="center" vertical="center"/>
      <protection/>
    </xf>
    <xf numFmtId="180" fontId="4" fillId="0" borderId="36" xfId="0" applyNumberFormat="1" applyFont="1" applyFill="1" applyBorder="1" applyAlignment="1" applyProtection="1">
      <alignment horizontal="right" vertical="center" shrinkToFit="1"/>
      <protection locked="0"/>
    </xf>
    <xf numFmtId="180" fontId="4" fillId="0" borderId="56" xfId="0" applyNumberFormat="1" applyFont="1" applyFill="1" applyBorder="1" applyAlignment="1" applyProtection="1">
      <alignment horizontal="right" vertical="center" shrinkToFit="1"/>
      <protection locked="0"/>
    </xf>
    <xf numFmtId="180" fontId="4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43" fillId="0" borderId="0" xfId="0" applyFont="1" applyFill="1" applyBorder="1" applyAlignment="1" applyProtection="1">
      <alignment horizontal="center" vertical="center"/>
      <protection/>
    </xf>
    <xf numFmtId="180" fontId="10" fillId="0" borderId="93" xfId="0" applyNumberFormat="1" applyFont="1" applyFill="1" applyBorder="1" applyAlignment="1" applyProtection="1" quotePrefix="1">
      <alignment horizontal="center" vertical="center"/>
      <protection/>
    </xf>
    <xf numFmtId="180" fontId="10" fillId="0" borderId="94" xfId="0" applyNumberFormat="1" applyFont="1" applyFill="1" applyBorder="1" applyAlignment="1" applyProtection="1" quotePrefix="1">
      <alignment horizontal="center" vertical="center"/>
      <protection/>
    </xf>
    <xf numFmtId="180" fontId="10" fillId="0" borderId="95" xfId="0" applyNumberFormat="1" applyFont="1" applyFill="1" applyBorder="1" applyAlignment="1" applyProtection="1" quotePrefix="1">
      <alignment horizontal="center" vertical="center"/>
      <protection/>
    </xf>
    <xf numFmtId="180" fontId="10" fillId="0" borderId="190" xfId="0" applyNumberFormat="1" applyFont="1" applyFill="1" applyBorder="1" applyAlignment="1" applyProtection="1" quotePrefix="1">
      <alignment horizontal="center" vertical="center"/>
      <protection/>
    </xf>
    <xf numFmtId="180" fontId="10" fillId="0" borderId="12" xfId="0" applyNumberFormat="1" applyFont="1" applyFill="1" applyBorder="1" applyAlignment="1" applyProtection="1">
      <alignment horizontal="center" vertical="center"/>
      <protection/>
    </xf>
    <xf numFmtId="180" fontId="10" fillId="0" borderId="41" xfId="0" applyNumberFormat="1" applyFont="1" applyFill="1" applyBorder="1" applyAlignment="1" applyProtection="1" quotePrefix="1">
      <alignment horizontal="center" vertical="center"/>
      <protection/>
    </xf>
    <xf numFmtId="180" fontId="10" fillId="0" borderId="195" xfId="0" applyNumberFormat="1" applyFont="1" applyFill="1" applyBorder="1" applyAlignment="1" applyProtection="1" quotePrefix="1">
      <alignment horizontal="center" vertical="center"/>
      <protection/>
    </xf>
    <xf numFmtId="0" fontId="0" fillId="0" borderId="196" xfId="0" applyFont="1" applyFill="1" applyBorder="1" applyAlignment="1">
      <alignment/>
    </xf>
    <xf numFmtId="0" fontId="0" fillId="0" borderId="197" xfId="0" applyFont="1" applyFill="1" applyBorder="1" applyAlignment="1">
      <alignment/>
    </xf>
    <xf numFmtId="180" fontId="10" fillId="0" borderId="13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63" xfId="0" applyFont="1" applyFill="1" applyBorder="1" applyAlignment="1">
      <alignment/>
    </xf>
    <xf numFmtId="180" fontId="10" fillId="0" borderId="13" xfId="0" applyNumberFormat="1" applyFont="1" applyFill="1" applyBorder="1" applyAlignment="1" applyProtection="1">
      <alignment horizontal="center" vertical="center"/>
      <protection/>
    </xf>
    <xf numFmtId="180" fontId="4" fillId="0" borderId="35" xfId="0" applyNumberFormat="1" applyFont="1" applyFill="1" applyBorder="1" applyAlignment="1" applyProtection="1">
      <alignment horizontal="right" vertical="center" shrinkToFit="1"/>
      <protection locked="0"/>
    </xf>
    <xf numFmtId="180" fontId="4" fillId="0" borderId="36" xfId="0" applyNumberFormat="1" applyFont="1" applyFill="1" applyBorder="1" applyAlignment="1" applyProtection="1">
      <alignment vertical="center" shrinkToFit="1"/>
      <protection/>
    </xf>
    <xf numFmtId="180" fontId="4" fillId="0" borderId="38" xfId="0" applyNumberFormat="1" applyFont="1" applyFill="1" applyBorder="1" applyAlignment="1" applyProtection="1">
      <alignment vertical="center" shrinkToFit="1"/>
      <protection/>
    </xf>
    <xf numFmtId="180" fontId="4" fillId="0" borderId="198" xfId="0" applyNumberFormat="1" applyFont="1" applyFill="1" applyBorder="1" applyAlignment="1" applyProtection="1">
      <alignment vertical="center" shrinkToFit="1"/>
      <protection/>
    </xf>
    <xf numFmtId="180" fontId="10" fillId="0" borderId="16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10" fillId="0" borderId="72" xfId="0" applyNumberFormat="1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/>
    </xf>
    <xf numFmtId="0" fontId="0" fillId="0" borderId="194" xfId="0" applyFont="1" applyFill="1" applyBorder="1" applyAlignment="1">
      <alignment/>
    </xf>
    <xf numFmtId="179" fontId="15" fillId="0" borderId="69" xfId="0" applyNumberFormat="1" applyFont="1" applyBorder="1" applyAlignment="1" applyProtection="1">
      <alignment horizontal="right" vertical="center"/>
      <protection/>
    </xf>
    <xf numFmtId="179" fontId="15" fillId="0" borderId="63" xfId="0" applyNumberFormat="1" applyFont="1" applyBorder="1" applyAlignment="1" applyProtection="1">
      <alignment horizontal="right" vertical="center"/>
      <protection/>
    </xf>
    <xf numFmtId="179" fontId="15" fillId="0" borderId="71" xfId="0" applyNumberFormat="1" applyFont="1" applyBorder="1" applyAlignment="1" applyProtection="1">
      <alignment horizontal="right" vertical="center"/>
      <protection/>
    </xf>
    <xf numFmtId="179" fontId="16" fillId="0" borderId="44" xfId="0" applyNumberFormat="1" applyFont="1" applyBorder="1" applyAlignment="1">
      <alignment horizontal="right" vertical="center"/>
    </xf>
    <xf numFmtId="179" fontId="16" fillId="0" borderId="43" xfId="0" applyNumberFormat="1" applyFont="1" applyBorder="1" applyAlignment="1">
      <alignment horizontal="right" vertical="center"/>
    </xf>
    <xf numFmtId="179" fontId="15" fillId="0" borderId="70" xfId="0" applyNumberFormat="1" applyFont="1" applyBorder="1" applyAlignment="1" applyProtection="1">
      <alignment horizontal="right" vertical="center"/>
      <protection/>
    </xf>
    <xf numFmtId="179" fontId="15" fillId="0" borderId="64" xfId="0" applyNumberFormat="1" applyFont="1" applyBorder="1" applyAlignment="1" applyProtection="1">
      <alignment horizontal="right" vertical="center"/>
      <protection/>
    </xf>
    <xf numFmtId="179" fontId="15" fillId="0" borderId="41" xfId="0" applyNumberFormat="1" applyFont="1" applyBorder="1" applyAlignment="1" applyProtection="1">
      <alignment horizontal="right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179" fontId="15" fillId="0" borderId="44" xfId="0" applyNumberFormat="1" applyFont="1" applyBorder="1" applyAlignment="1" applyProtection="1">
      <alignment vertical="center"/>
      <protection/>
    </xf>
    <xf numFmtId="179" fontId="15" fillId="0" borderId="43" xfId="0" applyNumberFormat="1" applyFont="1" applyBorder="1" applyAlignment="1" applyProtection="1">
      <alignment vertical="center"/>
      <protection/>
    </xf>
    <xf numFmtId="0" fontId="16" fillId="0" borderId="43" xfId="0" applyFont="1" applyBorder="1" applyAlignment="1" quotePrefix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5" fillId="0" borderId="21" xfId="0" applyFont="1" applyBorder="1" applyAlignment="1" applyProtection="1">
      <alignment horizontal="center" vertical="center"/>
      <protection/>
    </xf>
    <xf numFmtId="0" fontId="16" fillId="0" borderId="55" xfId="0" applyFont="1" applyBorder="1" applyAlignment="1">
      <alignment horizontal="center" vertical="center"/>
    </xf>
    <xf numFmtId="0" fontId="15" fillId="0" borderId="117" xfId="0" applyFont="1" applyBorder="1" applyAlignment="1" applyProtection="1">
      <alignment horizontal="left" vertical="center" wrapText="1"/>
      <protection/>
    </xf>
    <xf numFmtId="0" fontId="16" fillId="0" borderId="68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66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67" xfId="0" applyFont="1" applyBorder="1" applyAlignment="1" applyProtection="1">
      <alignment horizontal="center" vertical="center"/>
      <protection/>
    </xf>
    <xf numFmtId="2" fontId="15" fillId="0" borderId="14" xfId="0" applyNumberFormat="1" applyFont="1" applyBorder="1" applyAlignment="1" applyProtection="1" quotePrefix="1">
      <alignment horizontal="center" vertical="center"/>
      <protection/>
    </xf>
    <xf numFmtId="2" fontId="15" fillId="0" borderId="15" xfId="0" applyNumberFormat="1" applyFont="1" applyBorder="1" applyAlignment="1" applyProtection="1" quotePrefix="1">
      <alignment horizontal="center" vertical="center"/>
      <protection/>
    </xf>
    <xf numFmtId="2" fontId="15" fillId="0" borderId="199" xfId="0" applyNumberFormat="1" applyFont="1" applyBorder="1" applyAlignment="1" applyProtection="1" quotePrefix="1">
      <alignment horizontal="center" vertical="center"/>
      <protection/>
    </xf>
    <xf numFmtId="2" fontId="15" fillId="0" borderId="36" xfId="0" applyNumberFormat="1" applyFont="1" applyBorder="1" applyAlignment="1" applyProtection="1">
      <alignment horizontal="center" vertical="center"/>
      <protection/>
    </xf>
    <xf numFmtId="2" fontId="15" fillId="0" borderId="38" xfId="0" applyNumberFormat="1" applyFont="1" applyBorder="1" applyAlignment="1" applyProtection="1" quotePrefix="1">
      <alignment horizontal="center" vertical="center"/>
      <protection/>
    </xf>
    <xf numFmtId="2" fontId="15" fillId="0" borderId="39" xfId="0" applyNumberFormat="1" applyFont="1" applyBorder="1" applyAlignment="1" applyProtection="1" quotePrefix="1">
      <alignment horizontal="center" vertical="center"/>
      <protection/>
    </xf>
    <xf numFmtId="179" fontId="15" fillId="0" borderId="69" xfId="0" applyNumberFormat="1" applyFont="1" applyBorder="1" applyAlignment="1" applyProtection="1">
      <alignment vertical="center"/>
      <protection/>
    </xf>
    <xf numFmtId="179" fontId="15" fillId="0" borderId="67" xfId="0" applyNumberFormat="1" applyFont="1" applyBorder="1" applyAlignment="1" applyProtection="1">
      <alignment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15" fillId="0" borderId="38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2" fontId="15" fillId="0" borderId="56" xfId="0" applyNumberFormat="1" applyFont="1" applyBorder="1" applyAlignment="1" applyProtection="1" quotePrefix="1">
      <alignment horizontal="center" vertical="center"/>
      <protection/>
    </xf>
    <xf numFmtId="0" fontId="16" fillId="0" borderId="93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9" xfId="0" applyFont="1" applyBorder="1" applyAlignment="1">
      <alignment horizontal="center" vertical="center"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93" xfId="0" applyFont="1" applyBorder="1" applyAlignment="1" applyProtection="1" quotePrefix="1">
      <alignment horizontal="center" vertical="center"/>
      <protection/>
    </xf>
    <xf numFmtId="0" fontId="15" fillId="0" borderId="95" xfId="0" applyFont="1" applyBorder="1" applyAlignment="1" applyProtection="1" quotePrefix="1">
      <alignment horizontal="center" vertical="center"/>
      <protection/>
    </xf>
    <xf numFmtId="0" fontId="15" fillId="0" borderId="190" xfId="0" applyFont="1" applyBorder="1" applyAlignment="1" applyProtection="1" quotePrefix="1">
      <alignment horizontal="center" vertical="center"/>
      <protection/>
    </xf>
    <xf numFmtId="0" fontId="15" fillId="0" borderId="35" xfId="0" applyFont="1" applyBorder="1" applyAlignment="1" applyProtection="1" quotePrefix="1">
      <alignment horizontal="center" vertical="center"/>
      <protection/>
    </xf>
    <xf numFmtId="0" fontId="15" fillId="0" borderId="56" xfId="0" applyFont="1" applyBorder="1" applyAlignment="1" applyProtection="1" quotePrefix="1">
      <alignment horizontal="center" vertical="center"/>
      <protection/>
    </xf>
    <xf numFmtId="0" fontId="15" fillId="0" borderId="94" xfId="0" applyFont="1" applyBorder="1" applyAlignment="1" applyProtection="1" quotePrefix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5" fillId="0" borderId="93" xfId="0" applyFont="1" applyBorder="1" applyAlignment="1" applyProtection="1" quotePrefix="1">
      <alignment horizontal="center" vertical="center" shrinkToFit="1"/>
      <protection/>
    </xf>
    <xf numFmtId="0" fontId="15" fillId="0" borderId="95" xfId="0" applyFont="1" applyBorder="1" applyAlignment="1" applyProtection="1" quotePrefix="1">
      <alignment horizontal="center" vertical="center" shrinkToFit="1"/>
      <protection/>
    </xf>
    <xf numFmtId="0" fontId="15" fillId="0" borderId="200" xfId="0" applyFont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 quotePrefix="1">
      <alignment horizontal="right"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 quotePrefix="1">
      <alignment horizontal="left" vertical="center" shrinkToFit="1"/>
      <protection/>
    </xf>
    <xf numFmtId="0" fontId="0" fillId="0" borderId="0" xfId="0" applyAlignment="1">
      <alignment vertical="center" shrinkToFit="1"/>
    </xf>
    <xf numFmtId="0" fontId="15" fillId="0" borderId="36" xfId="0" applyFont="1" applyBorder="1" applyAlignment="1" applyProtection="1" quotePrefix="1">
      <alignment horizontal="center" vertical="center"/>
      <protection/>
    </xf>
    <xf numFmtId="0" fontId="15" fillId="0" borderId="38" xfId="0" applyFont="1" applyBorder="1" applyAlignment="1" applyProtection="1" quotePrefix="1">
      <alignment horizontal="center" vertical="center"/>
      <protection/>
    </xf>
    <xf numFmtId="0" fontId="16" fillId="0" borderId="4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179" fontId="15" fillId="0" borderId="16" xfId="0" applyNumberFormat="1" applyFont="1" applyBorder="1" applyAlignment="1" applyProtection="1">
      <alignment horizontal="right" vertical="center"/>
      <protection/>
    </xf>
    <xf numFmtId="179" fontId="15" fillId="0" borderId="53" xfId="0" applyNumberFormat="1" applyFont="1" applyBorder="1" applyAlignment="1" applyProtection="1">
      <alignment horizontal="right" vertical="center"/>
      <protection/>
    </xf>
    <xf numFmtId="179" fontId="15" fillId="0" borderId="21" xfId="0" applyNumberFormat="1" applyFont="1" applyBorder="1" applyAlignment="1" applyProtection="1">
      <alignment horizontal="right" vertical="center"/>
      <protection/>
    </xf>
    <xf numFmtId="0" fontId="15" fillId="0" borderId="14" xfId="0" applyFont="1" applyBorder="1" applyAlignment="1" applyProtection="1" quotePrefix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 vertical="center"/>
      <protection/>
    </xf>
    <xf numFmtId="0" fontId="15" fillId="0" borderId="66" xfId="0" applyFont="1" applyBorder="1" applyAlignment="1" applyProtection="1" quotePrefix="1">
      <alignment horizontal="center" vertical="center"/>
      <protection/>
    </xf>
    <xf numFmtId="0" fontId="15" fillId="0" borderId="39" xfId="0" applyFont="1" applyBorder="1" applyAlignment="1" applyProtection="1" quotePrefix="1">
      <alignment horizontal="center" vertical="center"/>
      <protection/>
    </xf>
    <xf numFmtId="0" fontId="15" fillId="0" borderId="36" xfId="0" applyFont="1" applyBorder="1" applyAlignment="1" applyProtection="1" quotePrefix="1">
      <alignment horizontal="left" vertical="center" shrinkToFit="1"/>
      <protection/>
    </xf>
    <xf numFmtId="0" fontId="16" fillId="0" borderId="38" xfId="0" applyFont="1" applyBorder="1" applyAlignment="1">
      <alignment vertical="center" shrinkToFit="1"/>
    </xf>
    <xf numFmtId="0" fontId="16" fillId="0" borderId="56" xfId="0" applyFont="1" applyBorder="1" applyAlignment="1">
      <alignment vertical="center" shrinkToFit="1"/>
    </xf>
    <xf numFmtId="0" fontId="16" fillId="0" borderId="2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15" fillId="0" borderId="64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 quotePrefix="1">
      <alignment horizontal="left" vertical="center"/>
      <protection/>
    </xf>
    <xf numFmtId="0" fontId="15" fillId="0" borderId="0" xfId="0" applyFont="1" applyBorder="1" applyAlignment="1" applyProtection="1" quotePrefix="1">
      <alignment horizontal="left" vertical="center"/>
      <protection/>
    </xf>
    <xf numFmtId="0" fontId="16" fillId="0" borderId="24" xfId="0" applyFont="1" applyBorder="1" applyAlignment="1">
      <alignment horizontal="center" vertical="center"/>
    </xf>
    <xf numFmtId="0" fontId="15" fillId="0" borderId="199" xfId="0" applyFont="1" applyBorder="1" applyAlignment="1" applyProtection="1" quotePrefix="1">
      <alignment horizontal="center" vertical="center"/>
      <protection/>
    </xf>
    <xf numFmtId="0" fontId="15" fillId="0" borderId="10" xfId="0" applyFont="1" applyBorder="1" applyAlignment="1" applyProtection="1" quotePrefix="1">
      <alignment horizontal="center" vertical="center"/>
      <protection/>
    </xf>
    <xf numFmtId="0" fontId="15" fillId="0" borderId="11" xfId="0" applyFont="1" applyBorder="1" applyAlignment="1" applyProtection="1" quotePrefix="1">
      <alignment horizontal="center" vertical="center"/>
      <protection/>
    </xf>
    <xf numFmtId="0" fontId="15" fillId="0" borderId="34" xfId="0" applyFont="1" applyBorder="1" applyAlignment="1" applyProtection="1" quotePrefix="1">
      <alignment horizontal="center" vertical="center"/>
      <protection/>
    </xf>
    <xf numFmtId="0" fontId="15" fillId="0" borderId="26" xfId="0" applyFont="1" applyBorder="1" applyAlignment="1" applyProtection="1" quotePrefix="1">
      <alignment horizontal="center" vertical="center"/>
      <protection/>
    </xf>
    <xf numFmtId="0" fontId="15" fillId="0" borderId="29" xfId="0" applyFont="1" applyBorder="1" applyAlignment="1" applyProtection="1" quotePrefix="1">
      <alignment horizontal="center" vertical="center"/>
      <protection/>
    </xf>
    <xf numFmtId="0" fontId="15" fillId="0" borderId="67" xfId="0" applyFont="1" applyBorder="1" applyAlignment="1" applyProtection="1" quotePrefix="1">
      <alignment horizontal="center" vertical="center"/>
      <protection/>
    </xf>
    <xf numFmtId="0" fontId="15" fillId="0" borderId="38" xfId="0" applyFont="1" applyBorder="1" applyAlignment="1" applyProtection="1">
      <alignment horizontal="right" vertical="center"/>
      <protection/>
    </xf>
    <xf numFmtId="0" fontId="15" fillId="0" borderId="38" xfId="0" applyNumberFormat="1" applyFont="1" applyBorder="1" applyAlignment="1" applyProtection="1">
      <alignment horizontal="center" vertical="center"/>
      <protection/>
    </xf>
    <xf numFmtId="186" fontId="15" fillId="0" borderId="38" xfId="0" applyNumberFormat="1" applyFont="1" applyBorder="1" applyAlignment="1" applyProtection="1">
      <alignment horizontal="center" vertical="center"/>
      <protection/>
    </xf>
    <xf numFmtId="0" fontId="15" fillId="0" borderId="117" xfId="0" applyFont="1" applyBorder="1" applyAlignment="1" applyProtection="1">
      <alignment horizontal="center" vertical="center"/>
      <protection/>
    </xf>
    <xf numFmtId="0" fontId="15" fillId="0" borderId="68" xfId="0" applyFont="1" applyBorder="1" applyAlignment="1" applyProtection="1">
      <alignment horizontal="center" vertical="center"/>
      <protection/>
    </xf>
    <xf numFmtId="0" fontId="15" fillId="0" borderId="6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71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 quotePrefix="1">
      <alignment horizontal="center" vertical="center"/>
      <protection/>
    </xf>
    <xf numFmtId="0" fontId="15" fillId="0" borderId="12" xfId="0" applyFont="1" applyBorder="1" applyAlignment="1" applyProtection="1" quotePrefix="1">
      <alignment horizontal="center" vertical="center"/>
      <protection/>
    </xf>
    <xf numFmtId="188" fontId="15" fillId="0" borderId="12" xfId="0" applyNumberFormat="1" applyFont="1" applyBorder="1" applyAlignment="1" applyProtection="1" quotePrefix="1">
      <alignment horizontal="center" vertical="center"/>
      <protection/>
    </xf>
    <xf numFmtId="186" fontId="15" fillId="0" borderId="12" xfId="0" applyNumberFormat="1" applyFont="1" applyBorder="1" applyAlignment="1" applyProtection="1">
      <alignment horizontal="center" vertical="center"/>
      <protection/>
    </xf>
    <xf numFmtId="188" fontId="15" fillId="0" borderId="38" xfId="0" applyNumberFormat="1" applyFont="1" applyBorder="1" applyAlignment="1" applyProtection="1" quotePrefix="1">
      <alignment horizontal="center" vertical="center"/>
      <protection/>
    </xf>
    <xf numFmtId="179" fontId="15" fillId="0" borderId="69" xfId="0" applyNumberFormat="1" applyFont="1" applyBorder="1" applyAlignment="1" applyProtection="1" quotePrefix="1">
      <alignment horizontal="right" vertical="center"/>
      <protection/>
    </xf>
    <xf numFmtId="179" fontId="15" fillId="0" borderId="63" xfId="0" applyNumberFormat="1" applyFont="1" applyBorder="1" applyAlignment="1" applyProtection="1" quotePrefix="1">
      <alignment horizontal="right" vertical="center"/>
      <protection/>
    </xf>
    <xf numFmtId="179" fontId="15" fillId="0" borderId="71" xfId="0" applyNumberFormat="1" applyFont="1" applyBorder="1" applyAlignment="1" applyProtection="1" quotePrefix="1">
      <alignment horizontal="right" vertical="center"/>
      <protection/>
    </xf>
    <xf numFmtId="0" fontId="15" fillId="0" borderId="93" xfId="0" applyFont="1" applyBorder="1" applyAlignment="1" applyProtection="1">
      <alignment horizontal="center" vertical="center"/>
      <protection/>
    </xf>
    <xf numFmtId="0" fontId="15" fillId="0" borderId="95" xfId="0" applyFont="1" applyBorder="1" applyAlignment="1" applyProtection="1">
      <alignment horizontal="center" vertical="center"/>
      <protection/>
    </xf>
    <xf numFmtId="0" fontId="15" fillId="0" borderId="94" xfId="0" applyFont="1" applyBorder="1" applyAlignment="1" applyProtection="1">
      <alignment horizontal="center" vertical="center"/>
      <protection/>
    </xf>
    <xf numFmtId="186" fontId="15" fillId="0" borderId="11" xfId="0" applyNumberFormat="1" applyFont="1" applyBorder="1" applyAlignment="1" applyProtection="1">
      <alignment horizontal="center" vertical="center"/>
      <protection/>
    </xf>
    <xf numFmtId="38" fontId="9" fillId="0" borderId="16" xfId="49" applyFont="1" applyBorder="1" applyAlignment="1" applyProtection="1">
      <alignment horizontal="center" vertical="center"/>
      <protection/>
    </xf>
    <xf numFmtId="38" fontId="9" fillId="0" borderId="0" xfId="49" applyFont="1" applyBorder="1" applyAlignment="1" applyProtection="1">
      <alignment horizontal="center" vertical="center"/>
      <protection/>
    </xf>
    <xf numFmtId="38" fontId="9" fillId="0" borderId="21" xfId="49" applyFont="1" applyBorder="1" applyAlignment="1" applyProtection="1" quotePrefix="1">
      <alignment horizontal="center" vertical="center"/>
      <protection/>
    </xf>
    <xf numFmtId="38" fontId="9" fillId="0" borderId="12" xfId="49" applyFont="1" applyBorder="1" applyAlignment="1" applyProtection="1" quotePrefix="1">
      <alignment horizontal="center" vertical="center"/>
      <protection/>
    </xf>
    <xf numFmtId="189" fontId="5" fillId="0" borderId="10" xfId="49" applyNumberFormat="1" applyFont="1" applyBorder="1" applyAlignment="1" applyProtection="1">
      <alignment vertical="center"/>
      <protection locked="0"/>
    </xf>
    <xf numFmtId="189" fontId="1" fillId="0" borderId="11" xfId="0" applyNumberFormat="1" applyFont="1" applyBorder="1" applyAlignment="1">
      <alignment vertical="center"/>
    </xf>
    <xf numFmtId="189" fontId="1" fillId="0" borderId="67" xfId="0" applyNumberFormat="1" applyFont="1" applyBorder="1" applyAlignment="1">
      <alignment vertical="center"/>
    </xf>
    <xf numFmtId="189" fontId="5" fillId="0" borderId="36" xfId="49" applyNumberFormat="1" applyFont="1" applyBorder="1" applyAlignment="1" applyProtection="1">
      <alignment vertical="center"/>
      <protection locked="0"/>
    </xf>
    <xf numFmtId="189" fontId="1" fillId="0" borderId="38" xfId="0" applyNumberFormat="1" applyFont="1" applyBorder="1" applyAlignment="1">
      <alignment vertical="center"/>
    </xf>
    <xf numFmtId="189" fontId="1" fillId="0" borderId="56" xfId="0" applyNumberFormat="1" applyFont="1" applyBorder="1" applyAlignment="1">
      <alignment vertical="center"/>
    </xf>
    <xf numFmtId="38" fontId="9" fillId="0" borderId="14" xfId="49" applyFont="1" applyBorder="1" applyAlignment="1" applyProtection="1">
      <alignment horizontal="center" vertical="center"/>
      <protection/>
    </xf>
    <xf numFmtId="38" fontId="9" fillId="0" borderId="15" xfId="49" applyFont="1" applyBorder="1" applyAlignment="1" applyProtection="1">
      <alignment horizontal="center" vertical="center"/>
      <protection/>
    </xf>
    <xf numFmtId="38" fontId="9" fillId="0" borderId="10" xfId="49" applyFont="1" applyBorder="1" applyAlignment="1" applyProtection="1" quotePrefix="1">
      <alignment horizontal="center" vertical="center"/>
      <protection/>
    </xf>
    <xf numFmtId="38" fontId="9" fillId="0" borderId="11" xfId="49" applyFont="1" applyBorder="1" applyAlignment="1" applyProtection="1" quotePrefix="1">
      <alignment horizontal="center" vertical="center"/>
      <protection/>
    </xf>
    <xf numFmtId="38" fontId="9" fillId="0" borderId="67" xfId="49" applyFont="1" applyBorder="1" applyAlignment="1" applyProtection="1" quotePrefix="1">
      <alignment horizontal="center" vertical="center"/>
      <protection/>
    </xf>
    <xf numFmtId="38" fontId="9" fillId="0" borderId="21" xfId="49" applyFont="1" applyBorder="1" applyAlignment="1" applyProtection="1">
      <alignment horizontal="center" vertical="center"/>
      <protection/>
    </xf>
    <xf numFmtId="38" fontId="9" fillId="0" borderId="12" xfId="49" applyFont="1" applyBorder="1" applyAlignment="1" applyProtection="1">
      <alignment horizontal="center" vertical="center"/>
      <protection/>
    </xf>
    <xf numFmtId="38" fontId="9" fillId="0" borderId="71" xfId="49" applyFont="1" applyBorder="1" applyAlignment="1" applyProtection="1">
      <alignment horizontal="center" vertical="center"/>
      <protection/>
    </xf>
    <xf numFmtId="38" fontId="9" fillId="0" borderId="66" xfId="49" applyFont="1" applyBorder="1" applyAlignment="1" applyProtection="1">
      <alignment horizontal="center" vertical="center"/>
      <protection/>
    </xf>
    <xf numFmtId="38" fontId="6" fillId="0" borderId="0" xfId="49" applyFont="1" applyAlignment="1" applyProtection="1" quotePrefix="1">
      <alignment horizontal="center" vertical="center"/>
      <protection/>
    </xf>
    <xf numFmtId="38" fontId="9" fillId="0" borderId="93" xfId="49" applyFont="1" applyBorder="1" applyAlignment="1" applyProtection="1" quotePrefix="1">
      <alignment horizontal="center" vertical="center"/>
      <protection/>
    </xf>
    <xf numFmtId="38" fontId="9" fillId="0" borderId="95" xfId="49" applyFont="1" applyBorder="1" applyAlignment="1" applyProtection="1" quotePrefix="1">
      <alignment horizontal="center" vertical="center"/>
      <protection/>
    </xf>
    <xf numFmtId="38" fontId="9" fillId="0" borderId="94" xfId="49" applyFont="1" applyBorder="1" applyAlignment="1" applyProtection="1" quotePrefix="1">
      <alignment horizontal="center" vertical="center"/>
      <protection/>
    </xf>
    <xf numFmtId="38" fontId="9" fillId="0" borderId="12" xfId="49" applyFont="1" applyBorder="1" applyAlignment="1" applyProtection="1">
      <alignment horizontal="center" vertical="center"/>
      <protection locked="0"/>
    </xf>
    <xf numFmtId="38" fontId="9" fillId="0" borderId="53" xfId="49" applyFont="1" applyBorder="1" applyAlignment="1" applyProtection="1" quotePrefix="1">
      <alignment horizontal="center" vertical="center"/>
      <protection/>
    </xf>
    <xf numFmtId="38" fontId="9" fillId="0" borderId="68" xfId="49" applyFont="1" applyBorder="1" applyAlignment="1" applyProtection="1" quotePrefix="1">
      <alignment horizontal="center" vertical="center"/>
      <protection/>
    </xf>
    <xf numFmtId="38" fontId="9" fillId="0" borderId="69" xfId="49" applyFont="1" applyBorder="1" applyAlignment="1" applyProtection="1" quotePrefix="1">
      <alignment horizontal="center" vertical="center"/>
      <protection/>
    </xf>
    <xf numFmtId="38" fontId="9" fillId="0" borderId="23" xfId="49" applyFont="1" applyBorder="1" applyAlignment="1" applyProtection="1">
      <alignment horizontal="center" vertical="center"/>
      <protection/>
    </xf>
    <xf numFmtId="0" fontId="1" fillId="0" borderId="5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38" fontId="9" fillId="0" borderId="58" xfId="49" applyFont="1" applyBorder="1" applyAlignment="1" applyProtection="1">
      <alignment horizontal="center" vertical="center"/>
      <protection/>
    </xf>
    <xf numFmtId="38" fontId="9" fillId="0" borderId="57" xfId="49" applyFont="1" applyBorder="1" applyAlignment="1" applyProtection="1">
      <alignment horizontal="center" vertical="center"/>
      <protection/>
    </xf>
    <xf numFmtId="0" fontId="1" fillId="0" borderId="95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38" fontId="9" fillId="0" borderId="95" xfId="49" applyFont="1" applyBorder="1" applyAlignment="1" applyProtection="1">
      <alignment horizontal="center" vertical="center"/>
      <protection/>
    </xf>
    <xf numFmtId="38" fontId="9" fillId="0" borderId="94" xfId="49" applyFont="1" applyBorder="1" applyAlignment="1" applyProtection="1">
      <alignment horizontal="center" vertical="center"/>
      <protection/>
    </xf>
    <xf numFmtId="0" fontId="60" fillId="0" borderId="89" xfId="77" applyFont="1" applyBorder="1" applyAlignment="1" quotePrefix="1">
      <alignment horizontal="left"/>
      <protection/>
    </xf>
    <xf numFmtId="0" fontId="47" fillId="0" borderId="89" xfId="67" applyFont="1" applyBorder="1" applyAlignment="1">
      <alignment horizontal="center"/>
      <protection/>
    </xf>
    <xf numFmtId="180" fontId="9" fillId="0" borderId="23" xfId="0" applyNumberFormat="1" applyFont="1" applyBorder="1" applyAlignment="1" applyProtection="1">
      <alignment horizontal="center" vertical="center"/>
      <protection/>
    </xf>
    <xf numFmtId="180" fontId="9" fillId="0" borderId="57" xfId="0" applyNumberFormat="1" applyFont="1" applyBorder="1" applyAlignment="1" applyProtection="1">
      <alignment horizontal="center" vertical="center"/>
      <protection/>
    </xf>
    <xf numFmtId="180" fontId="9" fillId="0" borderId="93" xfId="0" applyNumberFormat="1" applyFont="1" applyBorder="1" applyAlignment="1" applyProtection="1" quotePrefix="1">
      <alignment horizontal="center" vertical="center"/>
      <protection/>
    </xf>
    <xf numFmtId="180" fontId="9" fillId="0" borderId="95" xfId="0" applyNumberFormat="1" applyFont="1" applyBorder="1" applyAlignment="1" applyProtection="1" quotePrefix="1">
      <alignment horizontal="center" vertical="center"/>
      <protection/>
    </xf>
    <xf numFmtId="180" fontId="9" fillId="0" borderId="94" xfId="0" applyNumberFormat="1" applyFont="1" applyBorder="1" applyAlignment="1" applyProtection="1" quotePrefix="1">
      <alignment horizontal="center" vertical="center"/>
      <protection/>
    </xf>
    <xf numFmtId="180" fontId="9" fillId="0" borderId="36" xfId="0" applyNumberFormat="1" applyFont="1" applyBorder="1" applyAlignment="1" applyProtection="1" quotePrefix="1">
      <alignment horizontal="center" vertical="center"/>
      <protection/>
    </xf>
    <xf numFmtId="180" fontId="9" fillId="0" borderId="38" xfId="0" applyNumberFormat="1" applyFont="1" applyBorder="1" applyAlignment="1" applyProtection="1" quotePrefix="1">
      <alignment horizontal="center" vertical="center"/>
      <protection/>
    </xf>
    <xf numFmtId="180" fontId="9" fillId="0" borderId="56" xfId="0" applyNumberFormat="1" applyFont="1" applyBorder="1" applyAlignment="1" applyProtection="1" quotePrefix="1">
      <alignment horizontal="center" vertical="center"/>
      <protection/>
    </xf>
    <xf numFmtId="180" fontId="9" fillId="0" borderId="200" xfId="0" applyNumberFormat="1" applyFont="1" applyBorder="1" applyAlignment="1" applyProtection="1">
      <alignment horizontal="center" vertical="center"/>
      <protection/>
    </xf>
    <xf numFmtId="180" fontId="9" fillId="0" borderId="201" xfId="0" applyNumberFormat="1" applyFont="1" applyBorder="1" applyAlignment="1" applyProtection="1" quotePrefix="1">
      <alignment horizontal="center" vertical="center"/>
      <protection/>
    </xf>
    <xf numFmtId="180" fontId="9" fillId="0" borderId="35" xfId="0" applyNumberFormat="1" applyFont="1" applyBorder="1" applyAlignment="1" applyProtection="1" quotePrefix="1">
      <alignment horizontal="center" vertical="center"/>
      <protection/>
    </xf>
    <xf numFmtId="180" fontId="9" fillId="0" borderId="202" xfId="0" applyNumberFormat="1" applyFont="1" applyBorder="1" applyAlignment="1" applyProtection="1" quotePrefix="1">
      <alignment horizontal="center" vertical="center"/>
      <protection/>
    </xf>
    <xf numFmtId="180" fontId="9" fillId="0" borderId="15" xfId="0" applyNumberFormat="1" applyFont="1" applyBorder="1" applyAlignment="1" applyProtection="1" quotePrefix="1">
      <alignment horizontal="center" vertical="center"/>
      <protection/>
    </xf>
    <xf numFmtId="180" fontId="9" fillId="0" borderId="199" xfId="0" applyNumberFormat="1" applyFont="1" applyBorder="1" applyAlignment="1" applyProtection="1" quotePrefix="1">
      <alignment horizontal="center" vertical="center"/>
      <protection/>
    </xf>
    <xf numFmtId="180" fontId="9" fillId="0" borderId="74" xfId="0" applyNumberFormat="1" applyFont="1" applyBorder="1" applyAlignment="1" applyProtection="1" quotePrefix="1">
      <alignment horizontal="center" vertical="center"/>
      <protection/>
    </xf>
    <xf numFmtId="180" fontId="9" fillId="0" borderId="0" xfId="0" applyNumberFormat="1" applyFont="1" applyBorder="1" applyAlignment="1" applyProtection="1" quotePrefix="1">
      <alignment horizontal="center" vertical="center"/>
      <protection/>
    </xf>
    <xf numFmtId="180" fontId="9" fillId="0" borderId="64" xfId="0" applyNumberFormat="1" applyFont="1" applyBorder="1" applyAlignment="1" applyProtection="1" quotePrefix="1">
      <alignment horizontal="center" vertical="center"/>
      <protection/>
    </xf>
    <xf numFmtId="180" fontId="9" fillId="0" borderId="32" xfId="0" applyNumberFormat="1" applyFont="1" applyBorder="1" applyAlignment="1" applyProtection="1" quotePrefix="1">
      <alignment horizontal="center" vertical="center"/>
      <protection/>
    </xf>
    <xf numFmtId="180" fontId="9" fillId="0" borderId="11" xfId="0" applyNumberFormat="1" applyFont="1" applyBorder="1" applyAlignment="1" applyProtection="1" quotePrefix="1">
      <alignment horizontal="center" vertical="center"/>
      <protection/>
    </xf>
    <xf numFmtId="180" fontId="9" fillId="0" borderId="34" xfId="0" applyNumberFormat="1" applyFont="1" applyBorder="1" applyAlignment="1" applyProtection="1" quotePrefix="1">
      <alignment horizontal="center" vertical="center"/>
      <protection/>
    </xf>
    <xf numFmtId="180" fontId="18" fillId="0" borderId="0" xfId="0" applyNumberFormat="1" applyFont="1" applyAlignment="1" applyProtection="1">
      <alignment horizontal="left" vertical="center" wrapText="1"/>
      <protection/>
    </xf>
    <xf numFmtId="180" fontId="9" fillId="0" borderId="40" xfId="0" applyNumberFormat="1" applyFont="1" applyBorder="1" applyAlignment="1" applyProtection="1" quotePrefix="1">
      <alignment horizontal="center" vertical="center"/>
      <protection/>
    </xf>
    <xf numFmtId="180" fontId="9" fillId="0" borderId="12" xfId="0" applyNumberFormat="1" applyFont="1" applyBorder="1" applyAlignment="1" applyProtection="1" quotePrefix="1">
      <alignment horizontal="center" vertical="center"/>
      <protection/>
    </xf>
    <xf numFmtId="180" fontId="9" fillId="0" borderId="41" xfId="0" applyNumberFormat="1" applyFont="1" applyBorder="1" applyAlignment="1" applyProtection="1" quotePrefix="1">
      <alignment horizontal="center" vertical="center"/>
      <protection/>
    </xf>
    <xf numFmtId="180" fontId="9" fillId="0" borderId="200" xfId="0" applyNumberFormat="1" applyFont="1" applyBorder="1" applyAlignment="1" applyProtection="1" quotePrefix="1">
      <alignment horizontal="center" vertical="center"/>
      <protection/>
    </xf>
    <xf numFmtId="180" fontId="9" fillId="0" borderId="58" xfId="0" applyNumberFormat="1" applyFont="1" applyBorder="1" applyAlignment="1" applyProtection="1" quotePrefix="1">
      <alignment horizontal="center" vertical="center"/>
      <protection/>
    </xf>
    <xf numFmtId="180" fontId="9" fillId="0" borderId="57" xfId="0" applyNumberFormat="1" applyFont="1" applyBorder="1" applyAlignment="1" applyProtection="1" quotePrefix="1">
      <alignment horizontal="center" vertical="center"/>
      <protection/>
    </xf>
    <xf numFmtId="180" fontId="9" fillId="0" borderId="10" xfId="0" applyNumberFormat="1" applyFont="1" applyBorder="1" applyAlignment="1" applyProtection="1" quotePrefix="1">
      <alignment horizontal="center" vertical="center"/>
      <protection/>
    </xf>
    <xf numFmtId="180" fontId="9" fillId="0" borderId="29" xfId="0" applyNumberFormat="1" applyFont="1" applyBorder="1" applyAlignment="1" applyProtection="1" quotePrefix="1">
      <alignment horizontal="center" vertical="center"/>
      <protection/>
    </xf>
    <xf numFmtId="180" fontId="6" fillId="0" borderId="0" xfId="0" applyNumberFormat="1" applyFont="1" applyAlignment="1" applyProtection="1" quotePrefix="1">
      <alignment horizontal="center" vertical="center"/>
      <protection/>
    </xf>
    <xf numFmtId="180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37" xfId="0" applyNumberFormat="1" applyFont="1" applyBorder="1" applyAlignment="1" applyProtection="1">
      <alignment horizontal="left" vertical="center" shrinkToFit="1"/>
      <protection/>
    </xf>
    <xf numFmtId="49" fontId="9" fillId="0" borderId="38" xfId="0" applyNumberFormat="1" applyFont="1" applyBorder="1" applyAlignment="1" applyProtection="1">
      <alignment horizontal="left" vertical="center" shrinkToFit="1"/>
      <protection/>
    </xf>
    <xf numFmtId="49" fontId="9" fillId="0" borderId="39" xfId="0" applyNumberFormat="1" applyFont="1" applyBorder="1" applyAlignment="1" applyProtection="1">
      <alignment horizontal="left" vertical="center" shrinkToFit="1"/>
      <protection/>
    </xf>
    <xf numFmtId="219" fontId="9" fillId="0" borderId="37" xfId="0" applyNumberFormat="1" applyFont="1" applyBorder="1" applyAlignment="1" applyProtection="1">
      <alignment horizontal="left" vertical="center" shrinkToFit="1"/>
      <protection/>
    </xf>
    <xf numFmtId="219" fontId="9" fillId="0" borderId="38" xfId="0" applyNumberFormat="1" applyFont="1" applyBorder="1" applyAlignment="1" applyProtection="1">
      <alignment horizontal="left" vertical="center" shrinkToFit="1"/>
      <protection/>
    </xf>
    <xf numFmtId="219" fontId="9" fillId="0" borderId="39" xfId="0" applyNumberFormat="1" applyFont="1" applyBorder="1" applyAlignment="1" applyProtection="1">
      <alignment horizontal="left" vertical="center" shrinkToFit="1"/>
      <protection/>
    </xf>
    <xf numFmtId="180" fontId="9" fillId="0" borderId="20" xfId="0" applyNumberFormat="1" applyFont="1" applyBorder="1" applyAlignment="1" applyProtection="1" quotePrefix="1">
      <alignment horizontal="center" vertical="center"/>
      <protection/>
    </xf>
    <xf numFmtId="180" fontId="9" fillId="0" borderId="21" xfId="0" applyNumberFormat="1" applyFont="1" applyBorder="1" applyAlignment="1" applyProtection="1" quotePrefix="1">
      <alignment horizontal="center" vertical="center"/>
      <protection/>
    </xf>
    <xf numFmtId="179" fontId="10" fillId="0" borderId="23" xfId="68" applyNumberFormat="1" applyFont="1" applyBorder="1" applyAlignment="1" applyProtection="1">
      <alignment horizontal="center" vertical="center"/>
      <protection/>
    </xf>
    <xf numFmtId="179" fontId="10" fillId="0" borderId="58" xfId="68" applyNumberFormat="1" applyFont="1" applyBorder="1" applyAlignment="1" applyProtection="1" quotePrefix="1">
      <alignment horizontal="center" vertical="center"/>
      <protection/>
    </xf>
    <xf numFmtId="179" fontId="10" fillId="0" borderId="57" xfId="68" applyNumberFormat="1" applyFont="1" applyBorder="1" applyAlignment="1" applyProtection="1" quotePrefix="1">
      <alignment horizontal="center" vertical="center"/>
      <protection/>
    </xf>
    <xf numFmtId="179" fontId="10" fillId="0" borderId="53" xfId="68" applyNumberFormat="1" applyFont="1" applyBorder="1" applyAlignment="1" applyProtection="1">
      <alignment horizontal="center" vertical="center" shrinkToFit="1"/>
      <protection/>
    </xf>
    <xf numFmtId="179" fontId="10" fillId="0" borderId="69" xfId="68" applyNumberFormat="1" applyFont="1" applyBorder="1" applyAlignment="1" applyProtection="1">
      <alignment horizontal="center" vertical="center" shrinkToFit="1"/>
      <protection/>
    </xf>
    <xf numFmtId="179" fontId="10" fillId="0" borderId="36" xfId="68" applyNumberFormat="1" applyFont="1" applyBorder="1" applyAlignment="1" applyProtection="1">
      <alignment horizontal="center" vertical="center"/>
      <protection/>
    </xf>
    <xf numFmtId="179" fontId="10" fillId="0" borderId="55" xfId="68" applyNumberFormat="1" applyFont="1" applyBorder="1" applyAlignment="1" applyProtection="1">
      <alignment horizontal="center" vertical="center"/>
      <protection/>
    </xf>
    <xf numFmtId="179" fontId="10" fillId="0" borderId="53" xfId="68" applyNumberFormat="1" applyFont="1" applyBorder="1" applyAlignment="1" applyProtection="1">
      <alignment horizontal="center" vertical="center"/>
      <protection/>
    </xf>
    <xf numFmtId="179" fontId="10" fillId="0" borderId="69" xfId="68" applyNumberFormat="1" applyFont="1" applyBorder="1" applyAlignment="1" applyProtection="1">
      <alignment horizontal="center" vertical="center"/>
      <protection/>
    </xf>
    <xf numFmtId="0" fontId="10" fillId="0" borderId="200" xfId="68" applyNumberFormat="1" applyFont="1" applyBorder="1" applyAlignment="1" applyProtection="1">
      <alignment horizontal="center" vertical="center"/>
      <protection/>
    </xf>
    <xf numFmtId="0" fontId="0" fillId="0" borderId="58" xfId="68" applyNumberFormat="1" applyFont="1" applyBorder="1" applyAlignment="1">
      <alignment vertical="center"/>
      <protection/>
    </xf>
    <xf numFmtId="0" fontId="0" fillId="0" borderId="57" xfId="68" applyNumberFormat="1" applyFont="1" applyBorder="1" applyAlignment="1">
      <alignment vertical="center"/>
      <protection/>
    </xf>
    <xf numFmtId="179" fontId="10" fillId="0" borderId="23" xfId="68" applyNumberFormat="1" applyFont="1" applyBorder="1" applyAlignment="1" applyProtection="1" quotePrefix="1">
      <alignment horizontal="center" vertical="center"/>
      <protection/>
    </xf>
    <xf numFmtId="0" fontId="0" fillId="0" borderId="58" xfId="68" applyFont="1" applyBorder="1" applyAlignment="1">
      <alignment horizontal="center" vertical="center"/>
      <protection/>
    </xf>
    <xf numFmtId="0" fontId="0" fillId="0" borderId="57" xfId="68" applyFont="1" applyBorder="1" applyAlignment="1">
      <alignment horizontal="center" vertical="center"/>
      <protection/>
    </xf>
    <xf numFmtId="179" fontId="10" fillId="0" borderId="58" xfId="68" applyNumberFormat="1" applyFont="1" applyBorder="1" applyAlignment="1" applyProtection="1">
      <alignment horizontal="center" vertical="center"/>
      <protection/>
    </xf>
    <xf numFmtId="0" fontId="7" fillId="0" borderId="0" xfId="68" applyNumberFormat="1" applyFont="1" applyAlignment="1" applyProtection="1">
      <alignment horizontal="center" vertical="center"/>
      <protection/>
    </xf>
    <xf numFmtId="0" fontId="10" fillId="0" borderId="201" xfId="68" applyNumberFormat="1" applyFont="1" applyBorder="1" applyAlignment="1" applyProtection="1">
      <alignment horizontal="center" vertical="center" shrinkToFit="1"/>
      <protection/>
    </xf>
    <xf numFmtId="0" fontId="0" fillId="0" borderId="95" xfId="68" applyNumberFormat="1" applyBorder="1" applyAlignment="1">
      <alignment vertical="center" shrinkToFit="1"/>
      <protection/>
    </xf>
    <xf numFmtId="0" fontId="0" fillId="0" borderId="94" xfId="68" applyNumberFormat="1" applyBorder="1" applyAlignment="1">
      <alignment vertical="center" shrinkToFit="1"/>
      <protection/>
    </xf>
    <xf numFmtId="179" fontId="10" fillId="0" borderId="93" xfId="68" applyNumberFormat="1" applyFont="1" applyBorder="1" applyAlignment="1" applyProtection="1" quotePrefix="1">
      <alignment horizontal="center" vertical="center" shrinkToFit="1"/>
      <protection/>
    </xf>
    <xf numFmtId="0" fontId="0" fillId="0" borderId="95" xfId="68" applyBorder="1" applyAlignment="1">
      <alignment horizontal="center" vertical="center" shrinkToFit="1"/>
      <protection/>
    </xf>
    <xf numFmtId="0" fontId="0" fillId="0" borderId="94" xfId="68" applyBorder="1" applyAlignment="1">
      <alignment horizontal="center" vertical="center" shrinkToFit="1"/>
      <protection/>
    </xf>
    <xf numFmtId="179" fontId="10" fillId="0" borderId="95" xfId="68" applyNumberFormat="1" applyFont="1" applyBorder="1" applyAlignment="1" applyProtection="1">
      <alignment horizontal="center" vertical="center" shrinkToFit="1"/>
      <protection/>
    </xf>
    <xf numFmtId="179" fontId="10" fillId="0" borderId="93" xfId="68" applyNumberFormat="1" applyFont="1" applyBorder="1" applyAlignment="1" applyProtection="1">
      <alignment horizontal="center" vertical="center" shrinkToFit="1"/>
      <protection/>
    </xf>
    <xf numFmtId="179" fontId="10" fillId="0" borderId="95" xfId="68" applyNumberFormat="1" applyFont="1" applyBorder="1" applyAlignment="1" applyProtection="1" quotePrefix="1">
      <alignment horizontal="center" vertical="center" shrinkToFit="1"/>
      <protection/>
    </xf>
    <xf numFmtId="179" fontId="10" fillId="0" borderId="94" xfId="68" applyNumberFormat="1" applyFont="1" applyBorder="1" applyAlignment="1" applyProtection="1" quotePrefix="1">
      <alignment horizontal="center" vertical="center" shrinkToFit="1"/>
      <protection/>
    </xf>
    <xf numFmtId="1" fontId="55" fillId="0" borderId="203" xfId="79" applyNumberFormat="1" applyFont="1" applyFill="1" applyBorder="1" applyAlignment="1" applyProtection="1">
      <alignment horizontal="center" vertical="center"/>
      <protection/>
    </xf>
    <xf numFmtId="1" fontId="55" fillId="0" borderId="204" xfId="79" applyFont="1" applyFill="1" applyBorder="1" applyAlignment="1">
      <alignment horizontal="center" vertical="center"/>
      <protection/>
    </xf>
    <xf numFmtId="1" fontId="55" fillId="0" borderId="205" xfId="79" applyNumberFormat="1" applyFont="1" applyFill="1" applyBorder="1" applyAlignment="1" applyProtection="1">
      <alignment horizontal="center" vertical="center" wrapText="1"/>
      <protection/>
    </xf>
    <xf numFmtId="1" fontId="55" fillId="0" borderId="206" xfId="79" applyFont="1" applyFill="1" applyBorder="1" applyAlignment="1">
      <alignment horizontal="center" vertical="center" wrapText="1"/>
      <protection/>
    </xf>
    <xf numFmtId="1" fontId="55" fillId="0" borderId="207" xfId="79" applyFont="1" applyFill="1" applyBorder="1" applyAlignment="1">
      <alignment horizontal="center" vertical="center" wrapText="1"/>
      <protection/>
    </xf>
    <xf numFmtId="1" fontId="55" fillId="0" borderId="208" xfId="79" applyNumberFormat="1" applyFont="1" applyFill="1" applyBorder="1" applyAlignment="1" applyProtection="1">
      <alignment horizontal="center" vertical="center"/>
      <protection/>
    </xf>
    <xf numFmtId="1" fontId="55" fillId="0" borderId="169" xfId="79" applyFont="1" applyFill="1" applyBorder="1" applyAlignment="1">
      <alignment horizontal="center" vertical="center"/>
      <protection/>
    </xf>
    <xf numFmtId="1" fontId="55" fillId="0" borderId="209" xfId="79" applyFont="1" applyFill="1" applyBorder="1" applyAlignment="1">
      <alignment horizontal="center" vertical="center"/>
      <protection/>
    </xf>
    <xf numFmtId="1" fontId="55" fillId="0" borderId="210" xfId="79" applyNumberFormat="1" applyFont="1" applyFill="1" applyBorder="1" applyAlignment="1" applyProtection="1">
      <alignment horizontal="center" vertical="center"/>
      <protection/>
    </xf>
    <xf numFmtId="1" fontId="55" fillId="0" borderId="211" xfId="79" applyFont="1" applyFill="1" applyBorder="1" applyAlignment="1">
      <alignment horizontal="center" vertical="center"/>
      <protection/>
    </xf>
    <xf numFmtId="1" fontId="55" fillId="0" borderId="212" xfId="79" applyFont="1" applyFill="1" applyBorder="1" applyAlignment="1">
      <alignment horizontal="center" vertical="center"/>
      <protection/>
    </xf>
    <xf numFmtId="1" fontId="55" fillId="0" borderId="213" xfId="79" applyNumberFormat="1" applyFont="1" applyFill="1" applyBorder="1" applyAlignment="1" applyProtection="1">
      <alignment horizontal="center" vertical="center"/>
      <protection/>
    </xf>
    <xf numFmtId="1" fontId="55" fillId="0" borderId="214" xfId="79" applyFont="1" applyFill="1" applyBorder="1" applyAlignment="1">
      <alignment horizontal="center" vertical="center"/>
      <protection/>
    </xf>
    <xf numFmtId="1" fontId="55" fillId="0" borderId="215" xfId="79" applyNumberFormat="1" applyFont="1" applyFill="1" applyBorder="1" applyAlignment="1" applyProtection="1">
      <alignment horizontal="center" vertical="center" wrapText="1"/>
      <protection/>
    </xf>
    <xf numFmtId="1" fontId="55" fillId="0" borderId="216" xfId="79" applyFont="1" applyFill="1" applyBorder="1" applyAlignment="1">
      <alignment horizontal="center" vertical="center" wrapText="1"/>
      <protection/>
    </xf>
    <xf numFmtId="1" fontId="4" fillId="0" borderId="217" xfId="79" applyFont="1" applyFill="1" applyBorder="1" applyAlignment="1">
      <alignment horizontal="center"/>
      <protection/>
    </xf>
    <xf numFmtId="1" fontId="55" fillId="0" borderId="203" xfId="79" applyNumberFormat="1" applyFont="1" applyFill="1" applyBorder="1" applyAlignment="1" applyProtection="1" quotePrefix="1">
      <alignment horizontal="center" vertical="center" wrapText="1"/>
      <protection/>
    </xf>
    <xf numFmtId="1" fontId="55" fillId="0" borderId="218" xfId="79" applyFont="1" applyFill="1" applyBorder="1" applyAlignment="1">
      <alignment horizontal="center" vertical="center" wrapText="1"/>
      <protection/>
    </xf>
    <xf numFmtId="1" fontId="55" fillId="0" borderId="204" xfId="79" applyFont="1" applyFill="1" applyBorder="1" applyAlignment="1">
      <alignment/>
      <protection/>
    </xf>
    <xf numFmtId="1" fontId="56" fillId="0" borderId="203" xfId="79" applyNumberFormat="1" applyFont="1" applyFill="1" applyBorder="1" applyAlignment="1" applyProtection="1">
      <alignment horizontal="center" vertical="center"/>
      <protection/>
    </xf>
    <xf numFmtId="1" fontId="56" fillId="0" borderId="204" xfId="79" applyFont="1" applyFill="1" applyBorder="1" applyAlignment="1">
      <alignment horizontal="center" vertical="center"/>
      <protection/>
    </xf>
    <xf numFmtId="1" fontId="55" fillId="0" borderId="219" xfId="79" applyNumberFormat="1" applyFont="1" applyFill="1" applyBorder="1" applyAlignment="1" applyProtection="1">
      <alignment horizontal="center" vertical="center" wrapText="1"/>
      <protection/>
    </xf>
    <xf numFmtId="1" fontId="55" fillId="0" borderId="220" xfId="79" applyFont="1" applyFill="1" applyBorder="1" applyAlignment="1">
      <alignment horizontal="center" vertical="center" wrapText="1"/>
      <protection/>
    </xf>
    <xf numFmtId="1" fontId="55" fillId="0" borderId="221" xfId="79" applyFont="1" applyFill="1" applyBorder="1" applyAlignment="1">
      <alignment horizontal="center" vertical="center" wrapText="1"/>
      <protection/>
    </xf>
    <xf numFmtId="1" fontId="55" fillId="0" borderId="220" xfId="79" applyNumberFormat="1" applyFont="1" applyFill="1" applyBorder="1" applyAlignment="1" applyProtection="1">
      <alignment horizontal="center" vertical="center" wrapText="1"/>
      <protection/>
    </xf>
    <xf numFmtId="1" fontId="55" fillId="0" borderId="221" xfId="79" applyNumberFormat="1" applyFont="1" applyFill="1" applyBorder="1" applyAlignment="1" applyProtection="1">
      <alignment horizontal="center" vertical="center" wrapText="1"/>
      <protection/>
    </xf>
    <xf numFmtId="38" fontId="55" fillId="0" borderId="222" xfId="49" applyFont="1" applyFill="1" applyBorder="1" applyAlignment="1" applyProtection="1">
      <alignment horizontal="center" vertical="center" wrapText="1"/>
      <protection/>
    </xf>
    <xf numFmtId="38" fontId="55" fillId="0" borderId="223" xfId="49" applyFont="1" applyFill="1" applyBorder="1" applyAlignment="1">
      <alignment horizontal="center" vertical="center" wrapText="1"/>
    </xf>
    <xf numFmtId="38" fontId="55" fillId="0" borderId="224" xfId="49" applyFont="1" applyFill="1" applyBorder="1" applyAlignment="1">
      <alignment horizontal="center" vertical="center" wrapText="1"/>
    </xf>
    <xf numFmtId="1" fontId="55" fillId="0" borderId="205" xfId="79" applyNumberFormat="1" applyFont="1" applyFill="1" applyBorder="1" applyAlignment="1" applyProtection="1">
      <alignment horizontal="center" vertical="center"/>
      <protection/>
    </xf>
    <xf numFmtId="1" fontId="55" fillId="0" borderId="206" xfId="79" applyFont="1" applyFill="1" applyBorder="1" applyAlignment="1">
      <alignment horizontal="center" vertical="center"/>
      <protection/>
    </xf>
    <xf numFmtId="1" fontId="55" fillId="0" borderId="207" xfId="79" applyFont="1" applyFill="1" applyBorder="1" applyAlignment="1">
      <alignment horizontal="center" vertical="center"/>
      <protection/>
    </xf>
    <xf numFmtId="1" fontId="55" fillId="0" borderId="225" xfId="79" applyNumberFormat="1" applyFont="1" applyFill="1" applyBorder="1" applyAlignment="1" applyProtection="1">
      <alignment horizontal="center" vertical="center"/>
      <protection/>
    </xf>
    <xf numFmtId="1" fontId="55" fillId="0" borderId="226" xfId="79" applyFont="1" applyFill="1" applyBorder="1" applyAlignment="1">
      <alignment horizontal="center" vertical="center"/>
      <protection/>
    </xf>
    <xf numFmtId="1" fontId="55" fillId="0" borderId="227" xfId="79" applyFont="1" applyFill="1" applyBorder="1" applyAlignment="1">
      <alignment horizontal="center" vertical="center"/>
      <protection/>
    </xf>
    <xf numFmtId="1" fontId="56" fillId="0" borderId="228" xfId="79" applyNumberFormat="1" applyFont="1" applyFill="1" applyBorder="1" applyAlignment="1" applyProtection="1">
      <alignment horizontal="center" vertical="center"/>
      <protection/>
    </xf>
    <xf numFmtId="1" fontId="55" fillId="0" borderId="228" xfId="79" applyNumberFormat="1" applyFont="1" applyFill="1" applyBorder="1" applyAlignment="1" applyProtection="1">
      <alignment horizontal="center" vertical="center"/>
      <protection/>
    </xf>
    <xf numFmtId="1" fontId="55" fillId="0" borderId="229" xfId="79" applyFont="1" applyFill="1" applyBorder="1" applyAlignment="1">
      <alignment horizontal="center" vertical="center"/>
      <protection/>
    </xf>
    <xf numFmtId="1" fontId="55" fillId="0" borderId="230" xfId="79" applyNumberFormat="1" applyFont="1" applyFill="1" applyBorder="1" applyAlignment="1" applyProtection="1">
      <alignment horizontal="center" vertical="center"/>
      <protection/>
    </xf>
    <xf numFmtId="0" fontId="54" fillId="0" borderId="89" xfId="77" applyFont="1" applyFill="1" applyBorder="1" applyAlignment="1" quotePrefix="1">
      <alignment horizontal="left"/>
      <protection/>
    </xf>
    <xf numFmtId="0" fontId="0" fillId="0" borderId="89" xfId="67" applyFont="1" applyFill="1" applyBorder="1" applyAlignment="1">
      <alignment horizont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_★法面積集計表(2017.05.11)" xfId="67"/>
    <cellStyle name="標準 2_7-1保美数量調書（1工事）20190215-旧構造物撤去・伐採-" xfId="68"/>
    <cellStyle name="標準 3" xfId="69"/>
    <cellStyle name="標準 4" xfId="70"/>
    <cellStyle name="標準 4 2" xfId="71"/>
    <cellStyle name="標準 4_7-1保美数量調書（1工事）20190215-旧構造物撤去・伐採-" xfId="72"/>
    <cellStyle name="標準 5" xfId="73"/>
    <cellStyle name="標準 5 2" xfId="74"/>
    <cellStyle name="標準 5_7-1保美数量調書（1工事）20190215-旧構造物撤去・伐採-" xfId="75"/>
    <cellStyle name="標準 6" xfId="76"/>
    <cellStyle name="標準_2工区畑整地土量計算書　圃区(支道)" xfId="77"/>
    <cellStyle name="標準_羽場坂抜開調書_牛田川除数量調書（1工事）小山" xfId="78"/>
    <cellStyle name="標準_伐開.抜根調書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</xdr:row>
      <xdr:rowOff>0</xdr:rowOff>
    </xdr:from>
    <xdr:ext cx="3000375" cy="1076325"/>
    <xdr:sp>
      <xdr:nvSpPr>
        <xdr:cNvPr id="1" name="テキスト ボックス 1"/>
        <xdr:cNvSpPr txBox="1">
          <a:spLocks noChangeArrowheads="1"/>
        </xdr:cNvSpPr>
      </xdr:nvSpPr>
      <xdr:spPr>
        <a:xfrm>
          <a:off x="9067800" y="1790700"/>
          <a:ext cx="3000375" cy="1076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該当なし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15</xdr:row>
      <xdr:rowOff>0</xdr:rowOff>
    </xdr:from>
    <xdr:ext cx="3000375" cy="1104900"/>
    <xdr:sp>
      <xdr:nvSpPr>
        <xdr:cNvPr id="1" name="テキスト ボックス 1"/>
        <xdr:cNvSpPr txBox="1">
          <a:spLocks noChangeArrowheads="1"/>
        </xdr:cNvSpPr>
      </xdr:nvSpPr>
      <xdr:spPr>
        <a:xfrm>
          <a:off x="4800600" y="4752975"/>
          <a:ext cx="3000375" cy="1104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該当なし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3019425" cy="1104900"/>
    <xdr:sp>
      <xdr:nvSpPr>
        <xdr:cNvPr id="1" name="テキスト ボックス 1"/>
        <xdr:cNvSpPr txBox="1">
          <a:spLocks noChangeArrowheads="1"/>
        </xdr:cNvSpPr>
      </xdr:nvSpPr>
      <xdr:spPr>
        <a:xfrm>
          <a:off x="5591175" y="4143375"/>
          <a:ext cx="3019425" cy="1104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該当なし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10</xdr:row>
      <xdr:rowOff>0</xdr:rowOff>
    </xdr:from>
    <xdr:ext cx="3009900" cy="1104900"/>
    <xdr:sp>
      <xdr:nvSpPr>
        <xdr:cNvPr id="1" name="テキスト ボックス 1"/>
        <xdr:cNvSpPr txBox="1">
          <a:spLocks noChangeArrowheads="1"/>
        </xdr:cNvSpPr>
      </xdr:nvSpPr>
      <xdr:spPr>
        <a:xfrm>
          <a:off x="8905875" y="3181350"/>
          <a:ext cx="3009900" cy="1104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該当なし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29</xdr:row>
      <xdr:rowOff>0</xdr:rowOff>
    </xdr:from>
    <xdr:ext cx="3019425" cy="1104900"/>
    <xdr:sp>
      <xdr:nvSpPr>
        <xdr:cNvPr id="1" name="テキスト ボックス 1"/>
        <xdr:cNvSpPr txBox="1">
          <a:spLocks noChangeArrowheads="1"/>
        </xdr:cNvSpPr>
      </xdr:nvSpPr>
      <xdr:spPr>
        <a:xfrm>
          <a:off x="4981575" y="9105900"/>
          <a:ext cx="3019425" cy="1104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該当なし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0</xdr:rowOff>
    </xdr:from>
    <xdr:ext cx="3019425" cy="1095375"/>
    <xdr:sp>
      <xdr:nvSpPr>
        <xdr:cNvPr id="1" name="テキスト ボックス 1"/>
        <xdr:cNvSpPr txBox="1">
          <a:spLocks noChangeArrowheads="1"/>
        </xdr:cNvSpPr>
      </xdr:nvSpPr>
      <xdr:spPr>
        <a:xfrm>
          <a:off x="5362575" y="4657725"/>
          <a:ext cx="3019425" cy="1095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該当なし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H18&#32701;&#22580;&#22338;&#22320;&#21306;&#65288;&#38651;&#23376;&#32013;&#21697;&#65289;\H18&#32701;&#22580;&#22338;&#22320;&#21306;&#65288;&#38651;&#23376;&#32013;&#21697;&#65289;\&#22577;&#21578;&#26360;&#65288;&#12458;&#12522;&#12472;&#12490;&#12523;&#12501;&#12449;&#12452;&#12523;&#65289;\&#25972;&#22320;&#35211;&#30452;&#12375;\&#65297;&#65300;&#24037;&#20107;&#25968;&#37327;&#35519;&#26360;\&#65297;&#24037;&#20107;&#25968;&#37327;&#3551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316;&#26989;&#29992;\H23%20&#33833;&#29983;&#24029;&#35199;\&#9733;&#25968;&#37327;&#35519;&#26360;\&#25968;&#37327;&#35519;&#26360;(4&#24037;&#21306;%20&#24037;&#2010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(1)"/>
      <sheetName val="総括(2)"/>
      <sheetName val="総括(3)"/>
      <sheetName val="道路"/>
      <sheetName val="排水路工"/>
      <sheetName val="心土破砕"/>
      <sheetName val="法面積"/>
      <sheetName val="抜開調書"/>
      <sheetName val="整地工"/>
      <sheetName val="旧道撤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１"/>
      <sheetName val="総括(1)"/>
      <sheetName val="総括(2)"/>
      <sheetName val="総括(3)"/>
      <sheetName val="総括(4)"/>
      <sheetName val="総括(5)"/>
      <sheetName val="表紙２"/>
      <sheetName val="道路工(1)"/>
      <sheetName val="用水路工(1)"/>
      <sheetName val="排水路工"/>
      <sheetName val="整地工(1)"/>
      <sheetName val="運転時間 "/>
      <sheetName val="法面積"/>
      <sheetName val="基礎資料．畦畔延長(1)"/>
      <sheetName val="運搬土　田"/>
      <sheetName val="運搬土　畑"/>
      <sheetName val="旧構造物撤去"/>
      <sheetName val="伐採"/>
      <sheetName val="旧道撤去"/>
      <sheetName val="運土 (2)"/>
      <sheetName val="6-1工事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view="pageBreakPreview" zoomScaleSheetLayoutView="100" zoomScalePageLayoutView="0" workbookViewId="0" topLeftCell="A1">
      <selection activeCell="L7" sqref="K7:L7"/>
    </sheetView>
  </sheetViews>
  <sheetFormatPr defaultColWidth="9.00390625" defaultRowHeight="13.5"/>
  <cols>
    <col min="1" max="1" width="5.625" style="572" customWidth="1"/>
    <col min="2" max="2" width="9.625" style="572" customWidth="1"/>
    <col min="3" max="3" width="5.625" style="572" customWidth="1"/>
    <col min="4" max="5" width="9.625" style="572" customWidth="1"/>
    <col min="6" max="6" width="7.625" style="572" customWidth="1"/>
    <col min="7" max="7" width="18.625" style="572" customWidth="1"/>
    <col min="8" max="8" width="9.625" style="572" customWidth="1"/>
    <col min="9" max="16384" width="9.00390625" style="572" customWidth="1"/>
  </cols>
  <sheetData>
    <row r="2" spans="2:8" s="570" customFormat="1" ht="27" customHeight="1">
      <c r="B2" s="567" t="s">
        <v>573</v>
      </c>
      <c r="C2" s="568" t="s">
        <v>579</v>
      </c>
      <c r="D2" s="567" t="s">
        <v>343</v>
      </c>
      <c r="E2" s="569"/>
      <c r="F2" s="569"/>
      <c r="G2" s="569"/>
      <c r="H2" s="569"/>
    </row>
    <row r="3" spans="2:8" s="570" customFormat="1" ht="27" customHeight="1">
      <c r="B3" s="1486" t="s">
        <v>582</v>
      </c>
      <c r="C3" s="1486"/>
      <c r="D3" s="1486"/>
      <c r="E3" s="1486"/>
      <c r="F3" s="1486"/>
      <c r="G3" s="1486"/>
      <c r="H3" s="1486"/>
    </row>
    <row r="4" spans="2:8" ht="15" customHeight="1">
      <c r="B4" s="571"/>
      <c r="C4" s="571"/>
      <c r="D4" s="571"/>
      <c r="E4" s="571"/>
      <c r="F4" s="571"/>
      <c r="G4" s="571"/>
      <c r="H4" s="571"/>
    </row>
    <row r="5" spans="2:8" s="570" customFormat="1" ht="27" customHeight="1">
      <c r="B5" s="1486"/>
      <c r="C5" s="1487"/>
      <c r="D5" s="1487"/>
      <c r="E5" s="1487"/>
      <c r="F5" s="1487"/>
      <c r="G5" s="569" t="s">
        <v>581</v>
      </c>
      <c r="H5" s="569" t="s">
        <v>344</v>
      </c>
    </row>
    <row r="6" spans="2:8" ht="15" customHeight="1">
      <c r="B6" s="571"/>
      <c r="C6" s="571"/>
      <c r="D6" s="571"/>
      <c r="E6" s="571"/>
      <c r="F6" s="571"/>
      <c r="G6" s="571"/>
      <c r="H6" s="571"/>
    </row>
    <row r="7" spans="2:8" s="570" customFormat="1" ht="27.75" customHeight="1">
      <c r="B7" s="569"/>
      <c r="C7" s="573" t="s">
        <v>345</v>
      </c>
      <c r="D7" s="568" t="s">
        <v>583</v>
      </c>
      <c r="E7" s="569" t="s">
        <v>346</v>
      </c>
      <c r="F7" s="574" t="s">
        <v>447</v>
      </c>
      <c r="G7" s="569" t="s">
        <v>347</v>
      </c>
      <c r="H7" s="569"/>
    </row>
    <row r="8" spans="2:8" ht="189.75" customHeight="1">
      <c r="B8" s="571"/>
      <c r="C8" s="571"/>
      <c r="D8" s="571"/>
      <c r="E8" s="571"/>
      <c r="F8" s="571"/>
      <c r="G8" s="571"/>
      <c r="H8" s="571"/>
    </row>
    <row r="9" spans="2:8" s="570" customFormat="1" ht="27" customHeight="1">
      <c r="B9" s="575" t="s">
        <v>85</v>
      </c>
      <c r="C9" s="575"/>
      <c r="D9" s="575"/>
      <c r="E9" s="575"/>
      <c r="F9" s="575"/>
      <c r="G9" s="575"/>
      <c r="H9" s="575"/>
    </row>
    <row r="12" s="577" customFormat="1" ht="21" customHeight="1">
      <c r="B12" s="576"/>
    </row>
    <row r="13" s="577" customFormat="1" ht="21" customHeight="1">
      <c r="B13" s="576"/>
    </row>
    <row r="14" s="577" customFormat="1" ht="21" customHeight="1">
      <c r="B14" s="576"/>
    </row>
    <row r="15" s="577" customFormat="1" ht="21" customHeight="1">
      <c r="B15" s="576"/>
    </row>
    <row r="16" s="577" customFormat="1" ht="21" customHeight="1">
      <c r="B16" s="576"/>
    </row>
    <row r="17" spans="2:3" s="577" customFormat="1" ht="21" customHeight="1">
      <c r="B17" s="576"/>
      <c r="C17" s="578"/>
    </row>
    <row r="18" s="577" customFormat="1" ht="21" customHeight="1">
      <c r="B18" s="576"/>
    </row>
    <row r="19" s="577" customFormat="1" ht="21" customHeight="1">
      <c r="B19" s="576"/>
    </row>
    <row r="20" s="577" customFormat="1" ht="21" customHeight="1">
      <c r="B20" s="576"/>
    </row>
    <row r="21" s="577" customFormat="1" ht="21" customHeight="1">
      <c r="B21" s="576"/>
    </row>
    <row r="22" s="577" customFormat="1" ht="21" customHeight="1">
      <c r="B22" s="576"/>
    </row>
    <row r="23" s="577" customFormat="1" ht="21" customHeight="1">
      <c r="B23" s="576"/>
    </row>
    <row r="24" s="577" customFormat="1" ht="21" customHeight="1">
      <c r="B24" s="576"/>
    </row>
  </sheetData>
  <sheetProtection/>
  <mergeCells count="2">
    <mergeCell ref="B5:F5"/>
    <mergeCell ref="B3:H3"/>
  </mergeCells>
  <printOptions horizontalCentered="1"/>
  <pageMargins left="0" right="0" top="2.204724409448819" bottom="0.3937007874015748" header="0" footer="0"/>
  <pageSetup horizontalDpi="300" verticalDpi="300"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56"/>
  <sheetViews>
    <sheetView view="pageBreakPreview" zoomScaleNormal="130" zoomScaleSheetLayoutView="100" zoomScalePageLayoutView="0" workbookViewId="0" topLeftCell="A1">
      <pane ySplit="2" topLeftCell="A3" activePane="bottomLeft" state="frozen"/>
      <selection pane="topLeft" activeCell="T34" sqref="T34"/>
      <selection pane="bottomLeft" activeCell="I45" sqref="I44:I45"/>
    </sheetView>
  </sheetViews>
  <sheetFormatPr defaultColWidth="9.00390625" defaultRowHeight="27" customHeight="1"/>
  <cols>
    <col min="1" max="1" width="9.00390625" style="1320" customWidth="1"/>
    <col min="2" max="2" width="11.625" style="1320" customWidth="1"/>
    <col min="3" max="3" width="16.375" style="1320" bestFit="1" customWidth="1"/>
    <col min="4" max="4" width="15.625" style="1320" customWidth="1"/>
    <col min="5" max="5" width="16.375" style="1320" bestFit="1" customWidth="1"/>
    <col min="6" max="6" width="15.625" style="1320" customWidth="1"/>
    <col min="7" max="7" width="16.75390625" style="1320" bestFit="1" customWidth="1"/>
    <col min="8" max="8" width="13.125" style="1320" bestFit="1" customWidth="1"/>
    <col min="9" max="9" width="16.375" style="1320" customWidth="1"/>
    <col min="10" max="10" width="15.625" style="1320" customWidth="1"/>
    <col min="11" max="11" width="16.375" style="1320" customWidth="1"/>
    <col min="12" max="12" width="15.625" style="1320" customWidth="1"/>
    <col min="13" max="13" width="3.75390625" style="1320" bestFit="1" customWidth="1"/>
    <col min="14" max="14" width="10.125" style="1320" bestFit="1" customWidth="1"/>
    <col min="15" max="16384" width="9.00390625" style="1320" customWidth="1"/>
  </cols>
  <sheetData>
    <row r="1" spans="2:6" ht="15" customHeight="1">
      <c r="B1" s="1776" t="s">
        <v>605</v>
      </c>
      <c r="C1" s="1776"/>
      <c r="E1" s="1777" t="s">
        <v>606</v>
      </c>
      <c r="F1" s="1777"/>
    </row>
    <row r="2" spans="2:14" ht="40.5">
      <c r="B2" s="1321" t="s">
        <v>607</v>
      </c>
      <c r="C2" s="1322" t="s">
        <v>608</v>
      </c>
      <c r="D2" s="1323" t="s">
        <v>609</v>
      </c>
      <c r="E2" s="1324" t="s">
        <v>610</v>
      </c>
      <c r="F2" s="1325" t="s">
        <v>611</v>
      </c>
      <c r="I2" s="1322" t="s">
        <v>608</v>
      </c>
      <c r="J2" s="1323" t="s">
        <v>609</v>
      </c>
      <c r="K2" s="1324" t="s">
        <v>610</v>
      </c>
      <c r="L2" s="1325" t="s">
        <v>611</v>
      </c>
      <c r="N2" s="1340" t="s">
        <v>277</v>
      </c>
    </row>
    <row r="3" spans="2:14" ht="15" customHeight="1">
      <c r="B3" s="1326" t="s">
        <v>612</v>
      </c>
      <c r="C3" s="1327">
        <v>3.87</v>
      </c>
      <c r="D3" s="1328">
        <f aca="true" t="shared" si="0" ref="D3:D51">IF(C3="","",ROUND(C3*(2)^0.5,2))</f>
        <v>5.47</v>
      </c>
      <c r="E3" s="1329">
        <v>1.93</v>
      </c>
      <c r="F3" s="1330">
        <f aca="true" t="shared" si="1" ref="F3:F51">IF(E3="","",ROUND(E3*(2)^0.5,2))</f>
        <v>2.73</v>
      </c>
      <c r="G3" s="1331" t="s">
        <v>620</v>
      </c>
      <c r="H3" s="1331" t="s">
        <v>620</v>
      </c>
      <c r="I3" s="1320">
        <f aca="true" t="shared" si="2" ref="I3:I14">_xlfn.SUMIFS(C$1:C$65536,$G:$G,$H3)</f>
        <v>13.95</v>
      </c>
      <c r="J3" s="1320">
        <f aca="true" t="shared" si="3" ref="J3:J14">_xlfn.SUMIFS(D$1:D$65536,$G:$G,$H3)</f>
        <v>19.73</v>
      </c>
      <c r="K3" s="1320">
        <f aca="true" t="shared" si="4" ref="K3:K14">_xlfn.SUMIFS(E$1:E$65536,$G:$G,$H3)</f>
        <v>198.84</v>
      </c>
      <c r="L3" s="1320">
        <f aca="true" t="shared" si="5" ref="L3:L14">_xlfn.SUMIFS(F$1:F$65536,$G:$G,$H3)</f>
        <v>281.2</v>
      </c>
      <c r="N3" s="1339">
        <f>J3+L3</f>
        <v>300.93</v>
      </c>
    </row>
    <row r="4" spans="2:14" ht="15" customHeight="1">
      <c r="B4" s="1326"/>
      <c r="C4" s="1327">
        <v>10.08</v>
      </c>
      <c r="D4" s="1328">
        <f t="shared" si="0"/>
        <v>14.26</v>
      </c>
      <c r="E4" s="1329">
        <v>103.46</v>
      </c>
      <c r="F4" s="1330">
        <f t="shared" si="1"/>
        <v>146.31</v>
      </c>
      <c r="G4" s="1331" t="s">
        <v>620</v>
      </c>
      <c r="H4" s="1331" t="s">
        <v>613</v>
      </c>
      <c r="I4" s="1320">
        <f t="shared" si="2"/>
        <v>21.509999999999998</v>
      </c>
      <c r="J4" s="1320">
        <f t="shared" si="3"/>
        <v>30.42</v>
      </c>
      <c r="K4" s="1320">
        <f t="shared" si="4"/>
        <v>37.84</v>
      </c>
      <c r="L4" s="1320">
        <f t="shared" si="5"/>
        <v>53.52</v>
      </c>
      <c r="N4" s="1339">
        <f aca="true" t="shared" si="6" ref="N4:N14">J4+L4</f>
        <v>83.94</v>
      </c>
    </row>
    <row r="5" spans="2:14" ht="15" customHeight="1">
      <c r="B5" s="1326"/>
      <c r="C5" s="1327"/>
      <c r="D5" s="1328">
        <f>IF(C5="","",ROUND(C5*(2)^0.5,2))</f>
      </c>
      <c r="E5" s="1329">
        <v>93.45</v>
      </c>
      <c r="F5" s="1330">
        <f>IF(E5="","",ROUND(E5*(2)^0.5,2))</f>
        <v>132.16</v>
      </c>
      <c r="G5" s="1331" t="s">
        <v>620</v>
      </c>
      <c r="H5" s="1331" t="s">
        <v>621</v>
      </c>
      <c r="I5" s="1320">
        <f t="shared" si="2"/>
        <v>6.8</v>
      </c>
      <c r="J5" s="1320">
        <f t="shared" si="3"/>
        <v>9.62</v>
      </c>
      <c r="K5" s="1320">
        <f t="shared" si="4"/>
        <v>91.22</v>
      </c>
      <c r="L5" s="1320">
        <f t="shared" si="5"/>
        <v>129.01</v>
      </c>
      <c r="N5" s="1339">
        <f t="shared" si="6"/>
        <v>138.63</v>
      </c>
    </row>
    <row r="6" spans="2:14" ht="15" customHeight="1">
      <c r="B6" s="1326" t="s">
        <v>613</v>
      </c>
      <c r="C6" s="1327">
        <v>3.68</v>
      </c>
      <c r="D6" s="1328">
        <f aca="true" t="shared" si="7" ref="D6:D16">IF(C6="","",ROUND(C6*(2)^0.5,2))</f>
        <v>5.2</v>
      </c>
      <c r="E6" s="1329">
        <v>23.12</v>
      </c>
      <c r="F6" s="1330">
        <f aca="true" t="shared" si="8" ref="F6:F17">IF(E6="","",ROUND(E6*(2)^0.5,2))</f>
        <v>32.7</v>
      </c>
      <c r="G6" s="1331" t="s">
        <v>613</v>
      </c>
      <c r="H6" s="1331" t="s">
        <v>615</v>
      </c>
      <c r="I6" s="1320">
        <f t="shared" si="2"/>
        <v>14.85</v>
      </c>
      <c r="J6" s="1320">
        <f t="shared" si="3"/>
        <v>21</v>
      </c>
      <c r="K6" s="1320">
        <f t="shared" si="4"/>
        <v>36.72</v>
      </c>
      <c r="L6" s="1320">
        <f t="shared" si="5"/>
        <v>51.93</v>
      </c>
      <c r="N6" s="1339">
        <f t="shared" si="6"/>
        <v>72.93</v>
      </c>
    </row>
    <row r="7" spans="2:14" ht="15" customHeight="1">
      <c r="B7" s="1326"/>
      <c r="C7" s="1327">
        <v>9.92</v>
      </c>
      <c r="D7" s="1328">
        <f t="shared" si="7"/>
        <v>14.03</v>
      </c>
      <c r="E7" s="1329">
        <v>14.72</v>
      </c>
      <c r="F7" s="1330">
        <f t="shared" si="8"/>
        <v>20.82</v>
      </c>
      <c r="G7" s="1331" t="s">
        <v>613</v>
      </c>
      <c r="H7" s="1331" t="s">
        <v>622</v>
      </c>
      <c r="I7" s="1320">
        <f t="shared" si="2"/>
        <v>26.36</v>
      </c>
      <c r="J7" s="1320">
        <f t="shared" si="3"/>
        <v>37.28</v>
      </c>
      <c r="K7" s="1320">
        <f t="shared" si="4"/>
        <v>0</v>
      </c>
      <c r="L7" s="1320">
        <f t="shared" si="5"/>
        <v>0</v>
      </c>
      <c r="N7" s="1339">
        <f t="shared" si="6"/>
        <v>37.28</v>
      </c>
    </row>
    <row r="8" spans="2:14" ht="15" customHeight="1">
      <c r="B8" s="1326"/>
      <c r="C8" s="1327">
        <v>7.91</v>
      </c>
      <c r="D8" s="1328">
        <f>IF(C8="","",ROUND(C8*(2)^0.5,2))</f>
        <v>11.19</v>
      </c>
      <c r="E8" s="1329"/>
      <c r="F8" s="1330">
        <f>IF(E8="","",ROUND(E8*(2)^0.5,2))</f>
      </c>
      <c r="G8" s="1331" t="s">
        <v>613</v>
      </c>
      <c r="H8" s="1331" t="s">
        <v>699</v>
      </c>
      <c r="I8" s="1320">
        <f t="shared" si="2"/>
        <v>0</v>
      </c>
      <c r="J8" s="1320">
        <f t="shared" si="3"/>
        <v>0</v>
      </c>
      <c r="K8" s="1320">
        <f t="shared" si="4"/>
        <v>5.33</v>
      </c>
      <c r="L8" s="1320">
        <f t="shared" si="5"/>
        <v>7.54</v>
      </c>
      <c r="N8" s="1339">
        <f>J8+L8</f>
        <v>7.54</v>
      </c>
    </row>
    <row r="9" spans="2:14" ht="15" customHeight="1">
      <c r="B9" s="1326" t="s">
        <v>614</v>
      </c>
      <c r="C9" s="1327">
        <v>6.8</v>
      </c>
      <c r="D9" s="1328">
        <f t="shared" si="7"/>
        <v>9.62</v>
      </c>
      <c r="E9" s="1329">
        <v>12.62</v>
      </c>
      <c r="F9" s="1330">
        <f t="shared" si="8"/>
        <v>17.85</v>
      </c>
      <c r="G9" s="1331" t="s">
        <v>621</v>
      </c>
      <c r="H9" s="1331" t="s">
        <v>700</v>
      </c>
      <c r="I9" s="1320">
        <f t="shared" si="2"/>
        <v>0</v>
      </c>
      <c r="J9" s="1320">
        <f t="shared" si="3"/>
        <v>0</v>
      </c>
      <c r="K9" s="1320">
        <f t="shared" si="4"/>
        <v>24.78</v>
      </c>
      <c r="L9" s="1320">
        <f t="shared" si="5"/>
        <v>35.04</v>
      </c>
      <c r="N9" s="1339">
        <f>J9+L9</f>
        <v>35.04</v>
      </c>
    </row>
    <row r="10" spans="2:14" ht="15" customHeight="1">
      <c r="B10" s="1326"/>
      <c r="C10" s="1327"/>
      <c r="D10" s="1328">
        <f t="shared" si="7"/>
      </c>
      <c r="E10" s="1329">
        <v>78.6</v>
      </c>
      <c r="F10" s="1330">
        <f t="shared" si="8"/>
        <v>111.16</v>
      </c>
      <c r="G10" s="1331" t="s">
        <v>621</v>
      </c>
      <c r="H10" s="1331" t="s">
        <v>705</v>
      </c>
      <c r="I10" s="1320">
        <f t="shared" si="2"/>
        <v>16.24</v>
      </c>
      <c r="J10" s="1320">
        <f t="shared" si="3"/>
        <v>22.97</v>
      </c>
      <c r="K10" s="1320">
        <f t="shared" si="4"/>
        <v>52.46</v>
      </c>
      <c r="L10" s="1320">
        <f t="shared" si="5"/>
        <v>74.19</v>
      </c>
      <c r="N10" s="1339">
        <f>J10+L10</f>
        <v>97.16</v>
      </c>
    </row>
    <row r="11" spans="2:14" ht="15" customHeight="1">
      <c r="B11" s="1326" t="s">
        <v>615</v>
      </c>
      <c r="C11" s="1327">
        <v>14.85</v>
      </c>
      <c r="D11" s="1328">
        <f t="shared" si="7"/>
        <v>21</v>
      </c>
      <c r="E11" s="1329">
        <v>36.72</v>
      </c>
      <c r="F11" s="1330">
        <f t="shared" si="8"/>
        <v>51.93</v>
      </c>
      <c r="G11" s="1331" t="s">
        <v>615</v>
      </c>
      <c r="H11" s="1331" t="s">
        <v>704</v>
      </c>
      <c r="I11" s="1320">
        <f t="shared" si="2"/>
        <v>29.19</v>
      </c>
      <c r="J11" s="1320">
        <f t="shared" si="3"/>
        <v>41.28</v>
      </c>
      <c r="K11" s="1320">
        <f t="shared" si="4"/>
        <v>35.89</v>
      </c>
      <c r="L11" s="1320">
        <f t="shared" si="5"/>
        <v>50.76</v>
      </c>
      <c r="N11" s="1339">
        <f t="shared" si="6"/>
        <v>92.03999999999999</v>
      </c>
    </row>
    <row r="12" spans="2:14" ht="15" customHeight="1">
      <c r="B12" s="1326" t="s">
        <v>616</v>
      </c>
      <c r="C12" s="1327">
        <v>26.36</v>
      </c>
      <c r="D12" s="1328">
        <f t="shared" si="7"/>
        <v>37.28</v>
      </c>
      <c r="E12" s="1329">
        <v>0</v>
      </c>
      <c r="F12" s="1330">
        <f t="shared" si="8"/>
        <v>0</v>
      </c>
      <c r="G12" s="1331" t="s">
        <v>622</v>
      </c>
      <c r="H12" s="1331" t="s">
        <v>623</v>
      </c>
      <c r="I12" s="1320">
        <f t="shared" si="2"/>
        <v>0</v>
      </c>
      <c r="J12" s="1320">
        <f t="shared" si="3"/>
        <v>0</v>
      </c>
      <c r="K12" s="1320">
        <f t="shared" si="4"/>
        <v>87.3</v>
      </c>
      <c r="L12" s="1320">
        <f t="shared" si="5"/>
        <v>123.46</v>
      </c>
      <c r="N12" s="1339">
        <f t="shared" si="6"/>
        <v>123.46</v>
      </c>
    </row>
    <row r="13" spans="2:14" ht="15" customHeight="1">
      <c r="B13" s="1326" t="s">
        <v>699</v>
      </c>
      <c r="C13" s="1327"/>
      <c r="D13" s="1328">
        <f t="shared" si="7"/>
      </c>
      <c r="E13" s="1329">
        <v>5.33</v>
      </c>
      <c r="F13" s="1330">
        <f t="shared" si="8"/>
        <v>7.54</v>
      </c>
      <c r="G13" s="1331" t="s">
        <v>699</v>
      </c>
      <c r="H13" s="1331" t="s">
        <v>618</v>
      </c>
      <c r="I13" s="1320">
        <f t="shared" si="2"/>
        <v>141.53</v>
      </c>
      <c r="J13" s="1320">
        <f t="shared" si="3"/>
        <v>200.15</v>
      </c>
      <c r="K13" s="1320">
        <f t="shared" si="4"/>
        <v>0</v>
      </c>
      <c r="L13" s="1320">
        <f t="shared" si="5"/>
        <v>0</v>
      </c>
      <c r="N13" s="1339">
        <f t="shared" si="6"/>
        <v>200.15</v>
      </c>
    </row>
    <row r="14" spans="2:14" ht="15" customHeight="1">
      <c r="B14" s="1326" t="s">
        <v>700</v>
      </c>
      <c r="C14" s="1327"/>
      <c r="D14" s="1328">
        <f t="shared" si="7"/>
      </c>
      <c r="E14" s="1329">
        <v>24.78</v>
      </c>
      <c r="F14" s="1330">
        <f t="shared" si="8"/>
        <v>35.04</v>
      </c>
      <c r="G14" s="1331" t="s">
        <v>700</v>
      </c>
      <c r="H14" s="1331" t="s">
        <v>619</v>
      </c>
      <c r="I14" s="1320">
        <f t="shared" si="2"/>
        <v>248.94</v>
      </c>
      <c r="J14" s="1320">
        <f t="shared" si="3"/>
        <v>352.05</v>
      </c>
      <c r="K14" s="1320">
        <f t="shared" si="4"/>
        <v>0</v>
      </c>
      <c r="L14" s="1320">
        <f t="shared" si="5"/>
        <v>0</v>
      </c>
      <c r="N14" s="1339">
        <f t="shared" si="6"/>
        <v>352.05</v>
      </c>
    </row>
    <row r="15" spans="2:14" ht="15" customHeight="1">
      <c r="B15" s="1326" t="s">
        <v>702</v>
      </c>
      <c r="C15" s="1327">
        <v>16.24</v>
      </c>
      <c r="D15" s="1328">
        <f t="shared" si="7"/>
        <v>22.97</v>
      </c>
      <c r="E15" s="1329">
        <v>52.46</v>
      </c>
      <c r="F15" s="1330">
        <f t="shared" si="8"/>
        <v>74.19</v>
      </c>
      <c r="G15" s="1331" t="s">
        <v>701</v>
      </c>
      <c r="I15" s="1320">
        <f>SUM(I3:I14)</f>
        <v>519.37</v>
      </c>
      <c r="J15" s="1320">
        <f>SUM(J3:J14)</f>
        <v>734.5</v>
      </c>
      <c r="K15" s="1320">
        <f>SUM(K3:K14)</f>
        <v>570.38</v>
      </c>
      <c r="L15" s="1320">
        <f>SUM(L3:L14)</f>
        <v>806.6499999999999</v>
      </c>
      <c r="N15" s="1339">
        <f>SUM(N3:N14)</f>
        <v>1541.1499999999999</v>
      </c>
    </row>
    <row r="16" spans="2:7" ht="15" customHeight="1">
      <c r="B16" s="1326" t="s">
        <v>703</v>
      </c>
      <c r="C16" s="1327">
        <v>15.22</v>
      </c>
      <c r="D16" s="1328">
        <f t="shared" si="7"/>
        <v>21.52</v>
      </c>
      <c r="E16" s="1329">
        <v>35.89</v>
      </c>
      <c r="F16" s="1330">
        <f t="shared" si="8"/>
        <v>50.76</v>
      </c>
      <c r="G16" s="1331" t="s">
        <v>704</v>
      </c>
    </row>
    <row r="17" spans="2:7" ht="15" customHeight="1">
      <c r="B17" s="1326"/>
      <c r="C17" s="1327">
        <v>13.97</v>
      </c>
      <c r="D17" s="1328">
        <f>IF(C17="","",ROUND(C17*(2)^0.5,2))</f>
        <v>19.76</v>
      </c>
      <c r="E17" s="1329"/>
      <c r="F17" s="1330">
        <f t="shared" si="8"/>
      </c>
      <c r="G17" s="1331" t="s">
        <v>704</v>
      </c>
    </row>
    <row r="18" spans="2:7" ht="15" customHeight="1">
      <c r="B18" s="1326" t="s">
        <v>617</v>
      </c>
      <c r="C18" s="1327">
        <v>0</v>
      </c>
      <c r="D18" s="1328">
        <f>IF(C18="","",ROUND(C18*(2)^0.5,2))</f>
        <v>0</v>
      </c>
      <c r="E18" s="1329">
        <v>87.3</v>
      </c>
      <c r="F18" s="1330">
        <f>IF(E18="","",ROUND(E18*(2)^0.5,2))</f>
        <v>123.46</v>
      </c>
      <c r="G18" s="1331" t="s">
        <v>623</v>
      </c>
    </row>
    <row r="19" spans="2:7" ht="15" customHeight="1">
      <c r="B19" s="1326" t="s">
        <v>618</v>
      </c>
      <c r="C19" s="1327">
        <v>141.53</v>
      </c>
      <c r="D19" s="1328">
        <f>IF(C19="","",ROUND(C19*(2)^0.5,2))</f>
        <v>200.15</v>
      </c>
      <c r="E19" s="1329">
        <v>0</v>
      </c>
      <c r="F19" s="1330">
        <f>IF(E19="","",ROUND(E19*(2)^0.5,2))</f>
        <v>0</v>
      </c>
      <c r="G19" s="1331" t="s">
        <v>618</v>
      </c>
    </row>
    <row r="20" spans="2:7" ht="15" customHeight="1">
      <c r="B20" s="1326" t="s">
        <v>619</v>
      </c>
      <c r="C20" s="1327">
        <v>25.31</v>
      </c>
      <c r="D20" s="1328">
        <f>IF(C20="","",ROUND(C20*(2)^0.5,2))</f>
        <v>35.79</v>
      </c>
      <c r="E20" s="1329">
        <v>0</v>
      </c>
      <c r="F20" s="1330">
        <f>IF(E20="","",ROUND(E20*(2)^0.5,2))</f>
        <v>0</v>
      </c>
      <c r="G20" s="1331" t="s">
        <v>619</v>
      </c>
    </row>
    <row r="21" spans="2:7" ht="15" customHeight="1">
      <c r="B21" s="1326"/>
      <c r="C21" s="1327">
        <v>223.63</v>
      </c>
      <c r="D21" s="1328">
        <f>IF(C21="","",ROUND(C21*(2)^0.5,2))</f>
        <v>316.26</v>
      </c>
      <c r="E21" s="1329">
        <v>0</v>
      </c>
      <c r="F21" s="1330">
        <f>IF(E21="","",ROUND(E21*(2)^0.5,2))</f>
        <v>0</v>
      </c>
      <c r="G21" s="1331" t="s">
        <v>619</v>
      </c>
    </row>
    <row r="22" spans="2:7" ht="15" customHeight="1">
      <c r="B22" s="1326"/>
      <c r="C22" s="1327"/>
      <c r="D22" s="1328">
        <f t="shared" si="0"/>
      </c>
      <c r="E22" s="1329"/>
      <c r="F22" s="1330">
        <f t="shared" si="1"/>
      </c>
      <c r="G22" s="1331"/>
    </row>
    <row r="23" spans="2:7" ht="15" customHeight="1">
      <c r="B23" s="1326"/>
      <c r="C23" s="1327"/>
      <c r="D23" s="1328">
        <f t="shared" si="0"/>
      </c>
      <c r="E23" s="1329"/>
      <c r="F23" s="1330">
        <f t="shared" si="1"/>
      </c>
      <c r="G23" s="1331"/>
    </row>
    <row r="24" spans="2:7" ht="15" customHeight="1">
      <c r="B24" s="1326"/>
      <c r="C24" s="1327"/>
      <c r="D24" s="1328">
        <f>IF(C24="","",ROUND(C24*(2)^0.5,2))</f>
      </c>
      <c r="E24" s="1329">
        <v>0</v>
      </c>
      <c r="F24" s="1330">
        <f>IF(E24="","",ROUND(E24*(2)^0.5,2))</f>
        <v>0</v>
      </c>
      <c r="G24" s="1331"/>
    </row>
    <row r="25" spans="2:7" ht="15" customHeight="1">
      <c r="B25" s="1326"/>
      <c r="C25" s="1327"/>
      <c r="D25" s="1328">
        <f t="shared" si="0"/>
      </c>
      <c r="E25" s="1329"/>
      <c r="F25" s="1330">
        <f t="shared" si="1"/>
      </c>
      <c r="G25" s="1331"/>
    </row>
    <row r="26" spans="2:7" ht="15" customHeight="1">
      <c r="B26" s="1326"/>
      <c r="C26" s="1327"/>
      <c r="D26" s="1328">
        <f t="shared" si="0"/>
      </c>
      <c r="E26" s="1329"/>
      <c r="F26" s="1330">
        <f t="shared" si="1"/>
      </c>
      <c r="G26" s="1331"/>
    </row>
    <row r="27" spans="2:7" ht="15" customHeight="1">
      <c r="B27" s="1326"/>
      <c r="C27" s="1327"/>
      <c r="D27" s="1328">
        <f t="shared" si="0"/>
      </c>
      <c r="E27" s="1329"/>
      <c r="F27" s="1330">
        <f t="shared" si="1"/>
      </c>
      <c r="G27" s="1331"/>
    </row>
    <row r="28" spans="2:7" ht="15" customHeight="1">
      <c r="B28" s="1326"/>
      <c r="C28" s="1327"/>
      <c r="D28" s="1328">
        <f t="shared" si="0"/>
      </c>
      <c r="E28" s="1329"/>
      <c r="F28" s="1330">
        <f t="shared" si="1"/>
      </c>
      <c r="G28" s="1331"/>
    </row>
    <row r="29" spans="2:7" ht="15" customHeight="1">
      <c r="B29" s="1326"/>
      <c r="C29" s="1327"/>
      <c r="D29" s="1328">
        <f t="shared" si="0"/>
      </c>
      <c r="E29" s="1329"/>
      <c r="F29" s="1330">
        <f t="shared" si="1"/>
      </c>
      <c r="G29" s="1331"/>
    </row>
    <row r="30" spans="2:7" ht="15" customHeight="1">
      <c r="B30" s="1326"/>
      <c r="C30" s="1327"/>
      <c r="D30" s="1328">
        <f t="shared" si="0"/>
      </c>
      <c r="E30" s="1329"/>
      <c r="F30" s="1330">
        <f t="shared" si="1"/>
      </c>
      <c r="G30" s="1331"/>
    </row>
    <row r="31" spans="2:7" ht="15" customHeight="1">
      <c r="B31" s="1326"/>
      <c r="C31" s="1327"/>
      <c r="D31" s="1328">
        <f t="shared" si="0"/>
      </c>
      <c r="E31" s="1329"/>
      <c r="F31" s="1330">
        <f t="shared" si="1"/>
      </c>
      <c r="G31" s="1331"/>
    </row>
    <row r="32" spans="2:7" ht="15" customHeight="1">
      <c r="B32" s="1326"/>
      <c r="C32" s="1327"/>
      <c r="D32" s="1328">
        <f t="shared" si="0"/>
      </c>
      <c r="E32" s="1329"/>
      <c r="F32" s="1330">
        <f t="shared" si="1"/>
      </c>
      <c r="G32" s="1331"/>
    </row>
    <row r="33" spans="2:7" ht="15" customHeight="1">
      <c r="B33" s="1326"/>
      <c r="C33" s="1327"/>
      <c r="D33" s="1328">
        <f t="shared" si="0"/>
      </c>
      <c r="E33" s="1329"/>
      <c r="F33" s="1330">
        <f t="shared" si="1"/>
      </c>
      <c r="G33" s="1331"/>
    </row>
    <row r="34" spans="2:7" ht="15" customHeight="1">
      <c r="B34" s="1326"/>
      <c r="C34" s="1327"/>
      <c r="D34" s="1328">
        <f t="shared" si="0"/>
      </c>
      <c r="E34" s="1329">
        <v>0</v>
      </c>
      <c r="F34" s="1330">
        <f t="shared" si="1"/>
        <v>0</v>
      </c>
      <c r="G34" s="1331"/>
    </row>
    <row r="35" spans="2:7" ht="15" customHeight="1">
      <c r="B35" s="1326"/>
      <c r="C35" s="1327"/>
      <c r="D35" s="1328">
        <f t="shared" si="0"/>
      </c>
      <c r="E35" s="1329">
        <v>0</v>
      </c>
      <c r="F35" s="1330">
        <f t="shared" si="1"/>
        <v>0</v>
      </c>
      <c r="G35" s="1331"/>
    </row>
    <row r="36" spans="2:7" ht="15" customHeight="1">
      <c r="B36" s="1326"/>
      <c r="C36" s="1327"/>
      <c r="D36" s="1328">
        <f t="shared" si="0"/>
      </c>
      <c r="E36" s="1329">
        <v>0</v>
      </c>
      <c r="F36" s="1330">
        <f t="shared" si="1"/>
        <v>0</v>
      </c>
      <c r="G36" s="1331"/>
    </row>
    <row r="37" spans="2:7" ht="15" customHeight="1">
      <c r="B37" s="1326"/>
      <c r="C37" s="1327"/>
      <c r="D37" s="1328">
        <f t="shared" si="0"/>
      </c>
      <c r="E37" s="1329">
        <v>0</v>
      </c>
      <c r="F37" s="1330">
        <f t="shared" si="1"/>
        <v>0</v>
      </c>
      <c r="G37" s="1331"/>
    </row>
    <row r="38" spans="2:7" ht="15" customHeight="1">
      <c r="B38" s="1326"/>
      <c r="C38" s="1327"/>
      <c r="D38" s="1328">
        <f t="shared" si="0"/>
      </c>
      <c r="E38" s="1329">
        <v>0</v>
      </c>
      <c r="F38" s="1330">
        <f t="shared" si="1"/>
        <v>0</v>
      </c>
      <c r="G38" s="1331"/>
    </row>
    <row r="39" spans="2:7" ht="15" customHeight="1">
      <c r="B39" s="1326"/>
      <c r="C39" s="1327"/>
      <c r="D39" s="1328">
        <f t="shared" si="0"/>
      </c>
      <c r="E39" s="1329">
        <v>0</v>
      </c>
      <c r="F39" s="1330">
        <f t="shared" si="1"/>
        <v>0</v>
      </c>
      <c r="G39" s="1331"/>
    </row>
    <row r="40" spans="2:7" ht="15" customHeight="1">
      <c r="B40" s="1326"/>
      <c r="C40" s="1327"/>
      <c r="D40" s="1328">
        <f t="shared" si="0"/>
      </c>
      <c r="E40" s="1329"/>
      <c r="F40" s="1330">
        <f t="shared" si="1"/>
      </c>
      <c r="G40" s="1331"/>
    </row>
    <row r="41" spans="2:7" ht="15" customHeight="1">
      <c r="B41" s="1326"/>
      <c r="C41" s="1327"/>
      <c r="D41" s="1328">
        <f t="shared" si="0"/>
      </c>
      <c r="E41" s="1329">
        <v>0</v>
      </c>
      <c r="F41" s="1330">
        <f t="shared" si="1"/>
        <v>0</v>
      </c>
      <c r="G41" s="1331"/>
    </row>
    <row r="42" spans="2:6" ht="15" customHeight="1">
      <c r="B42" s="1326"/>
      <c r="C42" s="1327"/>
      <c r="D42" s="1328">
        <f t="shared" si="0"/>
      </c>
      <c r="E42" s="1329"/>
      <c r="F42" s="1330">
        <f t="shared" si="1"/>
      </c>
    </row>
    <row r="43" spans="2:6" ht="15" customHeight="1">
      <c r="B43" s="1326"/>
      <c r="C43" s="1327"/>
      <c r="D43" s="1328">
        <f t="shared" si="0"/>
      </c>
      <c r="E43" s="1329"/>
      <c r="F43" s="1330">
        <f t="shared" si="1"/>
      </c>
    </row>
    <row r="44" spans="2:6" ht="15" customHeight="1">
      <c r="B44" s="1326"/>
      <c r="C44" s="1327"/>
      <c r="D44" s="1328">
        <f t="shared" si="0"/>
      </c>
      <c r="E44" s="1329"/>
      <c r="F44" s="1330">
        <f t="shared" si="1"/>
      </c>
    </row>
    <row r="45" spans="2:6" ht="15" customHeight="1">
      <c r="B45" s="1326"/>
      <c r="C45" s="1327"/>
      <c r="D45" s="1328">
        <f t="shared" si="0"/>
      </c>
      <c r="E45" s="1329"/>
      <c r="F45" s="1330">
        <f t="shared" si="1"/>
      </c>
    </row>
    <row r="46" spans="2:6" ht="15" customHeight="1">
      <c r="B46" s="1326"/>
      <c r="C46" s="1327"/>
      <c r="D46" s="1328">
        <f t="shared" si="0"/>
      </c>
      <c r="E46" s="1329"/>
      <c r="F46" s="1330">
        <f t="shared" si="1"/>
      </c>
    </row>
    <row r="47" spans="2:6" ht="15" customHeight="1">
      <c r="B47" s="1326"/>
      <c r="C47" s="1327"/>
      <c r="D47" s="1328">
        <f t="shared" si="0"/>
      </c>
      <c r="E47" s="1329"/>
      <c r="F47" s="1330">
        <f t="shared" si="1"/>
      </c>
    </row>
    <row r="48" spans="2:6" ht="15" customHeight="1">
      <c r="B48" s="1326"/>
      <c r="C48" s="1327"/>
      <c r="D48" s="1328">
        <f t="shared" si="0"/>
      </c>
      <c r="E48" s="1329"/>
      <c r="F48" s="1330">
        <f t="shared" si="1"/>
      </c>
    </row>
    <row r="49" spans="2:6" ht="15" customHeight="1">
      <c r="B49" s="1326"/>
      <c r="C49" s="1327"/>
      <c r="D49" s="1328">
        <f t="shared" si="0"/>
      </c>
      <c r="E49" s="1329"/>
      <c r="F49" s="1330">
        <f t="shared" si="1"/>
      </c>
    </row>
    <row r="50" spans="2:6" ht="15" customHeight="1">
      <c r="B50" s="1326"/>
      <c r="C50" s="1327"/>
      <c r="D50" s="1328">
        <f t="shared" si="0"/>
      </c>
      <c r="E50" s="1329"/>
      <c r="F50" s="1330">
        <f t="shared" si="1"/>
      </c>
    </row>
    <row r="51" spans="2:6" ht="15" customHeight="1" thickBot="1">
      <c r="B51" s="1326"/>
      <c r="C51" s="1327"/>
      <c r="D51" s="1328">
        <f t="shared" si="0"/>
      </c>
      <c r="E51" s="1329"/>
      <c r="F51" s="1330">
        <f t="shared" si="1"/>
      </c>
    </row>
    <row r="52" spans="2:6" ht="24.75" customHeight="1" thickTop="1">
      <c r="B52" s="1332" t="s">
        <v>285</v>
      </c>
      <c r="C52" s="1333">
        <f>SUM(C3:C50)</f>
        <v>519.37</v>
      </c>
      <c r="D52" s="1334">
        <f>SUM(D3:D50)</f>
        <v>734.5</v>
      </c>
      <c r="E52" s="1335">
        <f>SUM(E3:E50)</f>
        <v>570.38</v>
      </c>
      <c r="F52" s="1335">
        <f>SUM(F3:F50)</f>
        <v>806.6499999999999</v>
      </c>
    </row>
    <row r="55" spans="7:12" ht="27" customHeight="1">
      <c r="G55" s="1338"/>
      <c r="I55" s="1336"/>
      <c r="J55" s="1336"/>
      <c r="K55" s="1336"/>
      <c r="L55" s="1336"/>
    </row>
    <row r="56" spans="9:14" ht="27" customHeight="1">
      <c r="I56" s="1337"/>
      <c r="J56" s="1337"/>
      <c r="K56" s="1337"/>
      <c r="L56" s="1337"/>
      <c r="M56" s="1337"/>
      <c r="N56" s="1337"/>
    </row>
  </sheetData>
  <sheetProtection/>
  <mergeCells count="2">
    <mergeCell ref="B1:C1"/>
    <mergeCell ref="E1:F1"/>
  </mergeCells>
  <printOptions horizontalCentered="1" verticalCentered="1"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79"/>
  <sheetViews>
    <sheetView view="pageBreakPreview" zoomScale="60" zoomScaleNormal="50" zoomScalePageLayoutView="0" workbookViewId="0" topLeftCell="A1">
      <selection activeCell="T34" sqref="T34"/>
    </sheetView>
  </sheetViews>
  <sheetFormatPr defaultColWidth="10.625" defaultRowHeight="13.5"/>
  <cols>
    <col min="1" max="1" width="2.625" style="62" customWidth="1"/>
    <col min="2" max="2" width="10.875" style="62" bestFit="1" customWidth="1"/>
    <col min="3" max="3" width="11.00390625" style="62" bestFit="1" customWidth="1"/>
    <col min="4" max="4" width="11.125" style="62" bestFit="1" customWidth="1"/>
    <col min="5" max="5" width="8.625" style="62" customWidth="1"/>
    <col min="6" max="6" width="10.875" style="62" bestFit="1" customWidth="1"/>
    <col min="7" max="7" width="3.625" style="62" customWidth="1"/>
    <col min="8" max="10" width="11.625" style="62" customWidth="1"/>
    <col min="11" max="11" width="9.625" style="62" customWidth="1"/>
    <col min="12" max="12" width="13.625" style="62" customWidth="1"/>
    <col min="13" max="13" width="11.625" style="62" customWidth="1"/>
    <col min="14" max="14" width="9.625" style="62" customWidth="1"/>
    <col min="15" max="15" width="13.625" style="62" customWidth="1"/>
    <col min="16" max="16" width="11.625" style="62" customWidth="1"/>
    <col min="17" max="17" width="9.625" style="62" customWidth="1"/>
    <col min="18" max="18" width="13.625" style="62" customWidth="1"/>
    <col min="19" max="19" width="11.625" style="62" customWidth="1"/>
    <col min="20" max="20" width="9.625" style="62" customWidth="1"/>
    <col min="21" max="21" width="13.625" style="62" customWidth="1"/>
    <col min="22" max="22" width="11.625" style="62" customWidth="1"/>
    <col min="23" max="23" width="4.625" style="62" customWidth="1"/>
    <col min="24" max="24" width="6.625" style="62" customWidth="1"/>
    <col min="25" max="25" width="5.625" style="62" customWidth="1"/>
    <col min="26" max="26" width="6.625" style="62" customWidth="1"/>
    <col min="27" max="27" width="2.625" style="62" customWidth="1"/>
    <col min="28" max="28" width="11.125" style="62" customWidth="1"/>
    <col min="29" max="29" width="13.125" style="62" customWidth="1"/>
    <col min="30" max="16384" width="10.625" style="62" customWidth="1"/>
  </cols>
  <sheetData>
    <row r="2" spans="1:29" s="66" customFormat="1" ht="45" customHeight="1">
      <c r="A2" s="63"/>
      <c r="B2" s="1798"/>
      <c r="C2" s="1798"/>
      <c r="D2" s="1798"/>
      <c r="E2" s="1798"/>
      <c r="F2" s="1798"/>
      <c r="G2" s="1798"/>
      <c r="H2" s="64"/>
      <c r="I2" s="1807" t="s">
        <v>489</v>
      </c>
      <c r="J2" s="1807"/>
      <c r="K2" s="1807"/>
      <c r="L2" s="1807"/>
      <c r="M2" s="1807"/>
      <c r="N2" s="1807"/>
      <c r="O2" s="1807"/>
      <c r="P2" s="1807"/>
      <c r="Q2" s="1807"/>
      <c r="R2" s="1807"/>
      <c r="S2" s="1807"/>
      <c r="T2" s="1807"/>
      <c r="U2" s="1807"/>
      <c r="V2" s="1807"/>
      <c r="W2" s="1807"/>
      <c r="X2" s="1807"/>
      <c r="Y2" s="64"/>
      <c r="Z2" s="64"/>
      <c r="AA2" s="64"/>
      <c r="AB2" s="64"/>
      <c r="AC2" s="64"/>
    </row>
    <row r="3" spans="1:29" s="66" customFormat="1" ht="24" customHeight="1">
      <c r="A3" s="63"/>
      <c r="B3" s="1798"/>
      <c r="C3" s="1798"/>
      <c r="D3" s="1798"/>
      <c r="E3" s="1798"/>
      <c r="F3" s="1798"/>
      <c r="G3" s="1798"/>
      <c r="H3" s="64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4"/>
      <c r="Z3" s="64"/>
      <c r="AA3" s="64"/>
      <c r="AB3" s="64"/>
      <c r="AC3" s="64"/>
    </row>
    <row r="4" spans="1:29" s="12" customFormat="1" ht="24" customHeight="1" thickBot="1">
      <c r="A4" s="67"/>
      <c r="B4" s="68" t="s">
        <v>490</v>
      </c>
      <c r="C4" s="69"/>
      <c r="D4" s="70"/>
      <c r="E4" s="69"/>
      <c r="F4" s="71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 t="str">
        <f>'表紙１'!G5</f>
        <v>多比良</v>
      </c>
      <c r="U4" s="75" t="s">
        <v>491</v>
      </c>
      <c r="V4" s="76" t="s">
        <v>5</v>
      </c>
      <c r="W4" s="74" t="str">
        <f>'表紙１'!D7</f>
        <v>1</v>
      </c>
      <c r="X4" s="77" t="s">
        <v>492</v>
      </c>
      <c r="Y4" s="74" t="s">
        <v>215</v>
      </c>
      <c r="Z4" s="77" t="s">
        <v>493</v>
      </c>
      <c r="AA4" s="72"/>
      <c r="AB4" s="72"/>
      <c r="AC4" s="72"/>
    </row>
    <row r="5" spans="1:29" s="12" customFormat="1" ht="24" customHeight="1">
      <c r="A5" s="67"/>
      <c r="B5" s="78"/>
      <c r="C5" s="78"/>
      <c r="D5" s="78"/>
      <c r="E5" s="78"/>
      <c r="F5" s="79" t="s">
        <v>6</v>
      </c>
      <c r="G5" s="78"/>
      <c r="H5" s="80"/>
      <c r="I5" s="81"/>
      <c r="J5" s="1787" t="s">
        <v>494</v>
      </c>
      <c r="K5" s="1781"/>
      <c r="L5" s="1782"/>
      <c r="M5" s="1780" t="s">
        <v>495</v>
      </c>
      <c r="N5" s="1781"/>
      <c r="O5" s="1781"/>
      <c r="P5" s="1781"/>
      <c r="Q5" s="1781"/>
      <c r="R5" s="1781"/>
      <c r="S5" s="1781"/>
      <c r="T5" s="1781"/>
      <c r="U5" s="1782"/>
      <c r="V5" s="78"/>
      <c r="W5" s="1789" t="s">
        <v>496</v>
      </c>
      <c r="X5" s="1790"/>
      <c r="Y5" s="1790"/>
      <c r="Z5" s="1791"/>
      <c r="AA5" s="82"/>
      <c r="AB5" s="72"/>
      <c r="AC5" s="72"/>
    </row>
    <row r="6" spans="1:29" s="12" customFormat="1" ht="24" customHeight="1">
      <c r="A6" s="67"/>
      <c r="B6" s="83" t="s">
        <v>7</v>
      </c>
      <c r="C6" s="83" t="s">
        <v>8</v>
      </c>
      <c r="D6" s="83" t="s">
        <v>9</v>
      </c>
      <c r="E6" s="83" t="s">
        <v>10</v>
      </c>
      <c r="F6" s="115" t="s">
        <v>497</v>
      </c>
      <c r="G6" s="78"/>
      <c r="H6" s="85" t="s">
        <v>498</v>
      </c>
      <c r="I6" s="86" t="s">
        <v>499</v>
      </c>
      <c r="J6" s="1788" t="s">
        <v>500</v>
      </c>
      <c r="K6" s="1784"/>
      <c r="L6" s="1785"/>
      <c r="M6" s="1783" t="s">
        <v>501</v>
      </c>
      <c r="N6" s="1784"/>
      <c r="O6" s="1785"/>
      <c r="P6" s="1783" t="s">
        <v>502</v>
      </c>
      <c r="Q6" s="1784"/>
      <c r="R6" s="1785"/>
      <c r="S6" s="1783" t="s">
        <v>503</v>
      </c>
      <c r="T6" s="1784"/>
      <c r="U6" s="1785"/>
      <c r="V6" s="114" t="s">
        <v>449</v>
      </c>
      <c r="W6" s="1792"/>
      <c r="X6" s="1793"/>
      <c r="Y6" s="1793"/>
      <c r="Z6" s="1794"/>
      <c r="AA6" s="82"/>
      <c r="AB6" s="72"/>
      <c r="AC6" s="72"/>
    </row>
    <row r="7" spans="1:29" s="12" customFormat="1" ht="24" customHeight="1">
      <c r="A7" s="67"/>
      <c r="B7" s="83" t="s">
        <v>12</v>
      </c>
      <c r="C7" s="83" t="s">
        <v>6</v>
      </c>
      <c r="D7" s="83" t="s">
        <v>13</v>
      </c>
      <c r="E7" s="83" t="s">
        <v>14</v>
      </c>
      <c r="F7" s="115" t="s">
        <v>504</v>
      </c>
      <c r="G7" s="78"/>
      <c r="H7" s="85" t="s">
        <v>505</v>
      </c>
      <c r="I7" s="86" t="s">
        <v>506</v>
      </c>
      <c r="J7" s="87" t="s">
        <v>16</v>
      </c>
      <c r="K7" s="83" t="s">
        <v>17</v>
      </c>
      <c r="L7" s="83" t="s">
        <v>18</v>
      </c>
      <c r="M7" s="83" t="s">
        <v>16</v>
      </c>
      <c r="N7" s="83" t="s">
        <v>17</v>
      </c>
      <c r="O7" s="83" t="s">
        <v>18</v>
      </c>
      <c r="P7" s="83" t="s">
        <v>16</v>
      </c>
      <c r="Q7" s="83" t="s">
        <v>17</v>
      </c>
      <c r="R7" s="83" t="s">
        <v>18</v>
      </c>
      <c r="S7" s="83" t="s">
        <v>16</v>
      </c>
      <c r="T7" s="83" t="s">
        <v>17</v>
      </c>
      <c r="U7" s="83" t="s">
        <v>18</v>
      </c>
      <c r="V7" s="78"/>
      <c r="W7" s="1792"/>
      <c r="X7" s="1793"/>
      <c r="Y7" s="1793"/>
      <c r="Z7" s="1794"/>
      <c r="AA7" s="82"/>
      <c r="AB7" s="72"/>
      <c r="AC7" s="72"/>
    </row>
    <row r="8" spans="1:29" s="12" customFormat="1" ht="24" customHeight="1">
      <c r="A8" s="67"/>
      <c r="B8" s="88"/>
      <c r="C8" s="88"/>
      <c r="D8" s="88"/>
      <c r="E8" s="88"/>
      <c r="F8" s="113" t="s">
        <v>507</v>
      </c>
      <c r="G8" s="78"/>
      <c r="H8" s="89"/>
      <c r="I8" s="90"/>
      <c r="J8" s="91" t="s">
        <v>19</v>
      </c>
      <c r="K8" s="92" t="s">
        <v>14</v>
      </c>
      <c r="L8" s="88"/>
      <c r="M8" s="92" t="s">
        <v>19</v>
      </c>
      <c r="N8" s="92" t="s">
        <v>14</v>
      </c>
      <c r="O8" s="88"/>
      <c r="P8" s="92" t="s">
        <v>19</v>
      </c>
      <c r="Q8" s="92" t="s">
        <v>14</v>
      </c>
      <c r="R8" s="88"/>
      <c r="S8" s="92" t="s">
        <v>19</v>
      </c>
      <c r="T8" s="92" t="s">
        <v>14</v>
      </c>
      <c r="U8" s="88"/>
      <c r="V8" s="92" t="s">
        <v>13</v>
      </c>
      <c r="W8" s="1795"/>
      <c r="X8" s="1796"/>
      <c r="Y8" s="1796"/>
      <c r="Z8" s="1797"/>
      <c r="AA8" s="82"/>
      <c r="AB8" s="72"/>
      <c r="AC8" s="72"/>
    </row>
    <row r="9" spans="1:29" s="12" customFormat="1" ht="24" customHeight="1">
      <c r="A9" s="67"/>
      <c r="B9" s="216"/>
      <c r="C9" s="216"/>
      <c r="D9" s="125"/>
      <c r="E9" s="125"/>
      <c r="F9" s="121"/>
      <c r="G9" s="78"/>
      <c r="H9" s="93"/>
      <c r="I9" s="204"/>
      <c r="J9" s="91"/>
      <c r="K9" s="92"/>
      <c r="L9" s="92"/>
      <c r="M9" s="92"/>
      <c r="N9" s="92"/>
      <c r="O9" s="92"/>
      <c r="P9" s="92"/>
      <c r="Q9" s="92"/>
      <c r="R9" s="92"/>
      <c r="S9" s="92"/>
      <c r="T9" s="92"/>
      <c r="U9" s="565"/>
      <c r="V9" s="92"/>
      <c r="W9" s="94"/>
      <c r="X9" s="68"/>
      <c r="Y9" s="99"/>
      <c r="Z9" s="100"/>
      <c r="AA9" s="82"/>
      <c r="AB9" s="72">
        <f>IF(V9=0,0,$E9)</f>
        <v>0</v>
      </c>
      <c r="AC9" s="72">
        <f>IF((V9*AB9)=0,"",V9*AB9)</f>
      </c>
    </row>
    <row r="10" spans="1:29" s="12" customFormat="1" ht="24" customHeight="1">
      <c r="A10" s="67"/>
      <c r="B10" s="216"/>
      <c r="C10" s="216"/>
      <c r="D10" s="125"/>
      <c r="E10" s="125"/>
      <c r="F10" s="121"/>
      <c r="G10" s="78"/>
      <c r="H10" s="93"/>
      <c r="I10" s="204"/>
      <c r="J10" s="91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565"/>
      <c r="V10" s="92"/>
      <c r="W10" s="94"/>
      <c r="X10" s="68"/>
      <c r="Y10" s="99"/>
      <c r="Z10" s="100"/>
      <c r="AA10" s="82"/>
      <c r="AB10" s="72"/>
      <c r="AC10" s="72"/>
    </row>
    <row r="11" spans="1:29" s="12" customFormat="1" ht="24" customHeight="1">
      <c r="A11" s="67"/>
      <c r="B11" s="216"/>
      <c r="C11" s="216"/>
      <c r="D11" s="125"/>
      <c r="E11" s="125"/>
      <c r="F11" s="121"/>
      <c r="G11" s="78"/>
      <c r="H11" s="93"/>
      <c r="I11" s="204"/>
      <c r="J11" s="91"/>
      <c r="K11" s="92"/>
      <c r="L11" s="92"/>
      <c r="M11" s="92"/>
      <c r="N11" s="92"/>
      <c r="O11" s="92"/>
      <c r="P11" s="966"/>
      <c r="Q11" s="92"/>
      <c r="R11" s="92"/>
      <c r="S11" s="92"/>
      <c r="T11" s="92"/>
      <c r="U11" s="565"/>
      <c r="V11" s="92"/>
      <c r="W11" s="94"/>
      <c r="X11" s="68"/>
      <c r="Y11" s="99"/>
      <c r="Z11" s="100"/>
      <c r="AA11" s="82"/>
      <c r="AB11" s="72">
        <f>IF(V11=0,0,$E11)</f>
        <v>0</v>
      </c>
      <c r="AC11" s="72">
        <f>IF((V11*AB11)=0,"",V11*AB11)</f>
      </c>
    </row>
    <row r="12" spans="1:29" s="12" customFormat="1" ht="24" customHeight="1">
      <c r="A12" s="67"/>
      <c r="B12" s="216"/>
      <c r="C12" s="216"/>
      <c r="D12" s="125"/>
      <c r="E12" s="125"/>
      <c r="F12" s="121"/>
      <c r="G12" s="78"/>
      <c r="H12" s="93"/>
      <c r="I12" s="204"/>
      <c r="J12" s="91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565"/>
      <c r="V12" s="92"/>
      <c r="W12" s="94"/>
      <c r="X12" s="68"/>
      <c r="Y12" s="99"/>
      <c r="Z12" s="100"/>
      <c r="AA12" s="82"/>
      <c r="AB12" s="72">
        <f>IF(V12=0,0,$E12)</f>
        <v>0</v>
      </c>
      <c r="AC12" s="72">
        <f>IF((V12*AB12)=0,"",V12*AB12)</f>
      </c>
    </row>
    <row r="13" spans="1:29" s="12" customFormat="1" ht="24" customHeight="1">
      <c r="A13" s="67"/>
      <c r="B13" s="216"/>
      <c r="C13" s="216"/>
      <c r="D13" s="125"/>
      <c r="E13" s="125"/>
      <c r="F13" s="121"/>
      <c r="G13" s="78"/>
      <c r="H13" s="93"/>
      <c r="I13" s="204"/>
      <c r="J13" s="91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565"/>
      <c r="V13" s="92"/>
      <c r="W13" s="94"/>
      <c r="X13" s="68"/>
      <c r="Y13" s="99"/>
      <c r="Z13" s="100"/>
      <c r="AA13" s="82"/>
      <c r="AB13" s="72">
        <f>IF(V13=0,0,$E13)</f>
        <v>0</v>
      </c>
      <c r="AC13" s="72">
        <f>IF((V13*AB13)=0,"",V13*AB13)</f>
      </c>
    </row>
    <row r="14" spans="1:29" s="12" customFormat="1" ht="24" customHeight="1">
      <c r="A14" s="67"/>
      <c r="B14" s="216"/>
      <c r="C14" s="216"/>
      <c r="D14" s="125"/>
      <c r="E14" s="125"/>
      <c r="F14" s="121"/>
      <c r="G14" s="78"/>
      <c r="H14" s="93"/>
      <c r="I14" s="204"/>
      <c r="J14" s="91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565"/>
      <c r="V14" s="92"/>
      <c r="W14" s="94"/>
      <c r="X14" s="68"/>
      <c r="Y14" s="99"/>
      <c r="Z14" s="100"/>
      <c r="AA14" s="82"/>
      <c r="AB14" s="72">
        <f aca="true" t="shared" si="0" ref="AB14:AB45">IF(V13=0,0,$E14)</f>
        <v>0</v>
      </c>
      <c r="AC14" s="72">
        <f aca="true" t="shared" si="1" ref="AC14:AC45">IF((V13*AB14)=0,"",V13*AB14)</f>
      </c>
    </row>
    <row r="15" spans="1:29" s="12" customFormat="1" ht="24" customHeight="1">
      <c r="A15" s="67"/>
      <c r="B15" s="216"/>
      <c r="C15" s="216"/>
      <c r="D15" s="125"/>
      <c r="E15" s="125"/>
      <c r="F15" s="121"/>
      <c r="G15" s="78"/>
      <c r="H15" s="93">
        <f aca="true" t="shared" si="2" ref="H15:H28">IF(B15="","",B15)</f>
      </c>
      <c r="I15" s="204">
        <f aca="true" t="shared" si="3" ref="I15:I28">IF(C15="","",C15)</f>
      </c>
      <c r="J15" s="91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565"/>
      <c r="V15" s="92"/>
      <c r="W15" s="94"/>
      <c r="X15" s="68"/>
      <c r="Y15" s="99"/>
      <c r="Z15" s="100"/>
      <c r="AA15" s="82"/>
      <c r="AB15" s="72">
        <f t="shared" si="0"/>
        <v>0</v>
      </c>
      <c r="AC15" s="72">
        <f t="shared" si="1"/>
      </c>
    </row>
    <row r="16" spans="1:29" s="12" customFormat="1" ht="24" customHeight="1">
      <c r="A16" s="67"/>
      <c r="B16" s="216"/>
      <c r="C16" s="216"/>
      <c r="D16" s="125"/>
      <c r="E16" s="125"/>
      <c r="F16" s="121"/>
      <c r="G16" s="78"/>
      <c r="H16" s="93">
        <f t="shared" si="2"/>
      </c>
      <c r="I16" s="204">
        <f t="shared" si="3"/>
      </c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565"/>
      <c r="V16" s="92"/>
      <c r="W16" s="94"/>
      <c r="X16" s="68"/>
      <c r="Y16" s="99"/>
      <c r="Z16" s="100"/>
      <c r="AA16" s="82"/>
      <c r="AB16" s="72">
        <f t="shared" si="0"/>
        <v>0</v>
      </c>
      <c r="AC16" s="72">
        <f t="shared" si="1"/>
      </c>
    </row>
    <row r="17" spans="1:29" s="12" customFormat="1" ht="24" customHeight="1">
      <c r="A17" s="67"/>
      <c r="B17" s="216"/>
      <c r="C17" s="216"/>
      <c r="D17" s="125"/>
      <c r="E17" s="125"/>
      <c r="F17" s="121"/>
      <c r="G17" s="78"/>
      <c r="H17" s="93">
        <f t="shared" si="2"/>
      </c>
      <c r="I17" s="204">
        <f t="shared" si="3"/>
      </c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565"/>
      <c r="V17" s="92"/>
      <c r="W17" s="94"/>
      <c r="X17" s="68"/>
      <c r="Y17" s="99"/>
      <c r="Z17" s="100"/>
      <c r="AA17" s="82"/>
      <c r="AB17" s="72">
        <f t="shared" si="0"/>
        <v>0</v>
      </c>
      <c r="AC17" s="72">
        <f t="shared" si="1"/>
      </c>
    </row>
    <row r="18" spans="1:29" s="12" customFormat="1" ht="24" customHeight="1">
      <c r="A18" s="67"/>
      <c r="B18" s="216"/>
      <c r="C18" s="216"/>
      <c r="D18" s="125"/>
      <c r="E18" s="125"/>
      <c r="F18" s="121"/>
      <c r="G18" s="78"/>
      <c r="H18" s="93">
        <f t="shared" si="2"/>
      </c>
      <c r="I18" s="204">
        <f t="shared" si="3"/>
      </c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565"/>
      <c r="V18" s="92"/>
      <c r="W18" s="94"/>
      <c r="X18" s="68"/>
      <c r="Y18" s="99"/>
      <c r="Z18" s="100"/>
      <c r="AA18" s="82"/>
      <c r="AB18" s="72">
        <f t="shared" si="0"/>
        <v>0</v>
      </c>
      <c r="AC18" s="72">
        <f t="shared" si="1"/>
      </c>
    </row>
    <row r="19" spans="1:29" s="12" customFormat="1" ht="24" customHeight="1">
      <c r="A19" s="67"/>
      <c r="B19" s="216"/>
      <c r="C19" s="216"/>
      <c r="D19" s="125"/>
      <c r="E19" s="125"/>
      <c r="F19" s="121"/>
      <c r="G19" s="78"/>
      <c r="H19" s="93">
        <f t="shared" si="2"/>
      </c>
      <c r="I19" s="204">
        <f t="shared" si="3"/>
      </c>
      <c r="J19" s="91"/>
      <c r="K19" s="92"/>
      <c r="L19" s="565"/>
      <c r="M19" s="92"/>
      <c r="N19" s="92"/>
      <c r="O19" s="92"/>
      <c r="P19" s="92"/>
      <c r="Q19" s="92"/>
      <c r="R19" s="92"/>
      <c r="S19" s="92"/>
      <c r="T19" s="92"/>
      <c r="U19" s="565"/>
      <c r="V19" s="92"/>
      <c r="W19" s="94"/>
      <c r="X19" s="68"/>
      <c r="Y19" s="99"/>
      <c r="Z19" s="100"/>
      <c r="AA19" s="82"/>
      <c r="AB19" s="72">
        <f t="shared" si="0"/>
        <v>0</v>
      </c>
      <c r="AC19" s="72">
        <f t="shared" si="1"/>
      </c>
    </row>
    <row r="20" spans="1:29" s="12" customFormat="1" ht="24" customHeight="1">
      <c r="A20" s="67"/>
      <c r="B20" s="216"/>
      <c r="C20" s="216"/>
      <c r="D20" s="125"/>
      <c r="E20" s="125"/>
      <c r="F20" s="121"/>
      <c r="G20" s="78"/>
      <c r="H20" s="93">
        <f t="shared" si="2"/>
      </c>
      <c r="I20" s="204">
        <f t="shared" si="3"/>
      </c>
      <c r="J20" s="91"/>
      <c r="K20" s="92"/>
      <c r="L20" s="565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4"/>
      <c r="X20" s="68"/>
      <c r="Y20" s="99"/>
      <c r="Z20" s="100"/>
      <c r="AA20" s="82"/>
      <c r="AB20" s="72">
        <f t="shared" si="0"/>
        <v>0</v>
      </c>
      <c r="AC20" s="72">
        <f t="shared" si="1"/>
      </c>
    </row>
    <row r="21" spans="1:29" s="12" customFormat="1" ht="24" customHeight="1">
      <c r="A21" s="67"/>
      <c r="B21" s="216"/>
      <c r="C21" s="216"/>
      <c r="D21" s="125"/>
      <c r="E21" s="125"/>
      <c r="F21" s="121"/>
      <c r="G21" s="78"/>
      <c r="H21" s="93">
        <f t="shared" si="2"/>
      </c>
      <c r="I21" s="204">
        <f t="shared" si="3"/>
      </c>
      <c r="J21" s="91"/>
      <c r="K21" s="92"/>
      <c r="L21" s="565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764"/>
      <c r="X21" s="68"/>
      <c r="Y21" s="99"/>
      <c r="Z21" s="100"/>
      <c r="AA21" s="82"/>
      <c r="AB21" s="72">
        <f t="shared" si="0"/>
        <v>0</v>
      </c>
      <c r="AC21" s="72">
        <f t="shared" si="1"/>
      </c>
    </row>
    <row r="22" spans="1:29" s="12" customFormat="1" ht="24" customHeight="1">
      <c r="A22" s="67"/>
      <c r="B22" s="120"/>
      <c r="C22" s="216"/>
      <c r="D22" s="121"/>
      <c r="E22" s="121"/>
      <c r="F22" s="121"/>
      <c r="G22" s="78"/>
      <c r="H22" s="93">
        <f t="shared" si="2"/>
      </c>
      <c r="I22" s="204">
        <f t="shared" si="3"/>
      </c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764"/>
      <c r="X22" s="68"/>
      <c r="Y22" s="99"/>
      <c r="Z22" s="100"/>
      <c r="AA22" s="82"/>
      <c r="AB22" s="72">
        <f t="shared" si="0"/>
        <v>0</v>
      </c>
      <c r="AC22" s="72">
        <f t="shared" si="1"/>
      </c>
    </row>
    <row r="23" spans="1:29" s="12" customFormat="1" ht="24" customHeight="1">
      <c r="A23" s="67"/>
      <c r="B23" s="120"/>
      <c r="C23" s="216"/>
      <c r="D23" s="121"/>
      <c r="E23" s="121"/>
      <c r="F23" s="121"/>
      <c r="G23" s="78"/>
      <c r="H23" s="93">
        <f t="shared" si="2"/>
      </c>
      <c r="I23" s="204">
        <f t="shared" si="3"/>
      </c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764"/>
      <c r="X23" s="68"/>
      <c r="Y23" s="99"/>
      <c r="Z23" s="100"/>
      <c r="AA23" s="82"/>
      <c r="AB23" s="72">
        <f t="shared" si="0"/>
        <v>0</v>
      </c>
      <c r="AC23" s="72">
        <f t="shared" si="1"/>
      </c>
    </row>
    <row r="24" spans="1:29" s="12" customFormat="1" ht="24" customHeight="1">
      <c r="A24" s="67"/>
      <c r="B24" s="120"/>
      <c r="C24" s="216"/>
      <c r="D24" s="121"/>
      <c r="E24" s="121"/>
      <c r="F24" s="121"/>
      <c r="G24" s="78"/>
      <c r="H24" s="93">
        <f t="shared" si="2"/>
      </c>
      <c r="I24" s="204">
        <f t="shared" si="3"/>
      </c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764"/>
      <c r="X24" s="68"/>
      <c r="Y24" s="99"/>
      <c r="Z24" s="100"/>
      <c r="AA24" s="82"/>
      <c r="AB24" s="72">
        <f t="shared" si="0"/>
        <v>0</v>
      </c>
      <c r="AC24" s="72">
        <f t="shared" si="1"/>
      </c>
    </row>
    <row r="25" spans="1:29" s="12" customFormat="1" ht="24" customHeight="1">
      <c r="A25" s="67"/>
      <c r="B25" s="120"/>
      <c r="C25" s="216"/>
      <c r="D25" s="121"/>
      <c r="E25" s="121"/>
      <c r="F25" s="121"/>
      <c r="G25" s="78"/>
      <c r="H25" s="93">
        <f t="shared" si="2"/>
      </c>
      <c r="I25" s="204">
        <f t="shared" si="3"/>
      </c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764"/>
      <c r="X25" s="68"/>
      <c r="Y25" s="99"/>
      <c r="Z25" s="100"/>
      <c r="AA25" s="82"/>
      <c r="AB25" s="72">
        <f t="shared" si="0"/>
        <v>0</v>
      </c>
      <c r="AC25" s="72">
        <f t="shared" si="1"/>
      </c>
    </row>
    <row r="26" spans="1:29" s="12" customFormat="1" ht="24" customHeight="1">
      <c r="A26" s="67"/>
      <c r="B26" s="120"/>
      <c r="C26" s="216"/>
      <c r="D26" s="121"/>
      <c r="E26" s="121"/>
      <c r="F26" s="121"/>
      <c r="G26" s="78"/>
      <c r="H26" s="93">
        <f t="shared" si="2"/>
      </c>
      <c r="I26" s="204">
        <f t="shared" si="3"/>
      </c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764"/>
      <c r="X26" s="68"/>
      <c r="Y26" s="99"/>
      <c r="Z26" s="100"/>
      <c r="AA26" s="82"/>
      <c r="AB26" s="72">
        <f t="shared" si="0"/>
        <v>0</v>
      </c>
      <c r="AC26" s="72">
        <f t="shared" si="1"/>
      </c>
    </row>
    <row r="27" spans="1:29" s="12" customFormat="1" ht="24" customHeight="1">
      <c r="A27" s="67"/>
      <c r="B27" s="120"/>
      <c r="C27" s="216"/>
      <c r="D27" s="121"/>
      <c r="E27" s="121"/>
      <c r="F27" s="121"/>
      <c r="G27" s="78"/>
      <c r="H27" s="93">
        <f t="shared" si="2"/>
      </c>
      <c r="I27" s="204">
        <f t="shared" si="3"/>
      </c>
      <c r="J27" s="91"/>
      <c r="K27" s="92"/>
      <c r="L27" s="92"/>
      <c r="M27" s="92"/>
      <c r="N27" s="92"/>
      <c r="O27" s="92"/>
      <c r="P27" s="92"/>
      <c r="Q27" s="92"/>
      <c r="R27" s="92">
        <f aca="true" t="shared" si="4" ref="R27:R42">IF((P27*Q27)=0,"",P27*Q27)</f>
      </c>
      <c r="S27" s="92"/>
      <c r="T27" s="92"/>
      <c r="U27" s="92"/>
      <c r="V27" s="92"/>
      <c r="W27" s="764"/>
      <c r="X27" s="68"/>
      <c r="Y27" s="99"/>
      <c r="Z27" s="100"/>
      <c r="AA27" s="82"/>
      <c r="AB27" s="72">
        <f t="shared" si="0"/>
        <v>0</v>
      </c>
      <c r="AC27" s="72">
        <f t="shared" si="1"/>
      </c>
    </row>
    <row r="28" spans="1:29" s="12" customFormat="1" ht="24" customHeight="1">
      <c r="A28" s="67"/>
      <c r="B28" s="120"/>
      <c r="C28" s="216"/>
      <c r="D28" s="121"/>
      <c r="E28" s="121"/>
      <c r="F28" s="121"/>
      <c r="G28" s="78"/>
      <c r="H28" s="93">
        <f t="shared" si="2"/>
      </c>
      <c r="I28" s="204">
        <f t="shared" si="3"/>
      </c>
      <c r="J28" s="91"/>
      <c r="K28" s="92"/>
      <c r="L28" s="92"/>
      <c r="M28" s="92"/>
      <c r="N28" s="92"/>
      <c r="O28" s="92"/>
      <c r="P28" s="92"/>
      <c r="Q28" s="92"/>
      <c r="R28" s="92">
        <f t="shared" si="4"/>
      </c>
      <c r="S28" s="92"/>
      <c r="T28" s="92"/>
      <c r="U28" s="92"/>
      <c r="V28" s="92"/>
      <c r="W28" s="94"/>
      <c r="X28" s="68"/>
      <c r="Y28" s="99"/>
      <c r="Z28" s="100"/>
      <c r="AA28" s="82"/>
      <c r="AB28" s="72">
        <f t="shared" si="0"/>
        <v>0</v>
      </c>
      <c r="AC28" s="72">
        <f t="shared" si="1"/>
      </c>
    </row>
    <row r="29" spans="1:29" s="12" customFormat="1" ht="24" customHeight="1">
      <c r="A29" s="67"/>
      <c r="B29" s="120"/>
      <c r="C29" s="120"/>
      <c r="D29" s="121"/>
      <c r="E29" s="121"/>
      <c r="F29" s="121"/>
      <c r="G29" s="78"/>
      <c r="H29" s="116">
        <f aca="true" t="shared" si="5" ref="H29:H71">IF(B30="","",B30)</f>
      </c>
      <c r="I29" s="117">
        <f aca="true" t="shared" si="6" ref="I29:I71">IF(C30="","",C30)</f>
      </c>
      <c r="J29" s="91"/>
      <c r="K29" s="92"/>
      <c r="L29" s="92"/>
      <c r="M29" s="92"/>
      <c r="N29" s="92"/>
      <c r="O29" s="92"/>
      <c r="P29" s="92"/>
      <c r="Q29" s="92"/>
      <c r="R29" s="92">
        <f t="shared" si="4"/>
      </c>
      <c r="S29" s="92"/>
      <c r="T29" s="92"/>
      <c r="U29" s="92"/>
      <c r="V29" s="92"/>
      <c r="W29" s="94"/>
      <c r="X29" s="68"/>
      <c r="Y29" s="99"/>
      <c r="Z29" s="100"/>
      <c r="AA29" s="82"/>
      <c r="AB29" s="72">
        <f t="shared" si="0"/>
        <v>0</v>
      </c>
      <c r="AC29" s="72">
        <f t="shared" si="1"/>
      </c>
    </row>
    <row r="30" spans="1:29" s="12" customFormat="1" ht="24" customHeight="1">
      <c r="A30" s="67"/>
      <c r="B30" s="122"/>
      <c r="C30" s="120"/>
      <c r="D30" s="121"/>
      <c r="E30" s="121"/>
      <c r="F30" s="121"/>
      <c r="G30" s="78"/>
      <c r="H30" s="116">
        <f t="shared" si="5"/>
      </c>
      <c r="I30" s="117">
        <f t="shared" si="6"/>
      </c>
      <c r="J30" s="91"/>
      <c r="K30" s="92"/>
      <c r="L30" s="92"/>
      <c r="M30" s="92"/>
      <c r="N30" s="92"/>
      <c r="O30" s="92"/>
      <c r="P30" s="92"/>
      <c r="Q30" s="92"/>
      <c r="R30" s="92">
        <f t="shared" si="4"/>
      </c>
      <c r="S30" s="92"/>
      <c r="T30" s="92"/>
      <c r="U30" s="92"/>
      <c r="V30" s="92"/>
      <c r="W30" s="94"/>
      <c r="X30" s="68"/>
      <c r="Y30" s="99"/>
      <c r="Z30" s="100"/>
      <c r="AA30" s="82"/>
      <c r="AB30" s="72">
        <f t="shared" si="0"/>
        <v>0</v>
      </c>
      <c r="AC30" s="72">
        <f t="shared" si="1"/>
      </c>
    </row>
    <row r="31" spans="1:29" s="12" customFormat="1" ht="24" customHeight="1">
      <c r="A31" s="67"/>
      <c r="B31" s="120"/>
      <c r="C31" s="120"/>
      <c r="D31" s="121"/>
      <c r="E31" s="121"/>
      <c r="F31" s="121"/>
      <c r="G31" s="78"/>
      <c r="H31" s="116">
        <f t="shared" si="5"/>
      </c>
      <c r="I31" s="117">
        <f t="shared" si="6"/>
      </c>
      <c r="J31" s="91"/>
      <c r="K31" s="92"/>
      <c r="L31" s="92"/>
      <c r="M31" s="92"/>
      <c r="N31" s="92"/>
      <c r="O31" s="92"/>
      <c r="P31" s="92"/>
      <c r="Q31" s="92"/>
      <c r="R31" s="92">
        <f t="shared" si="4"/>
      </c>
      <c r="S31" s="92"/>
      <c r="T31" s="92"/>
      <c r="U31" s="92"/>
      <c r="V31" s="92"/>
      <c r="W31" s="94"/>
      <c r="X31" s="68"/>
      <c r="Y31" s="99"/>
      <c r="Z31" s="100"/>
      <c r="AA31" s="82"/>
      <c r="AB31" s="72">
        <f t="shared" si="0"/>
        <v>0</v>
      </c>
      <c r="AC31" s="72">
        <f t="shared" si="1"/>
      </c>
    </row>
    <row r="32" spans="1:29" s="12" customFormat="1" ht="24" customHeight="1">
      <c r="A32" s="67"/>
      <c r="B32" s="120"/>
      <c r="C32" s="120"/>
      <c r="D32" s="121"/>
      <c r="E32" s="121"/>
      <c r="F32" s="121"/>
      <c r="G32" s="78"/>
      <c r="H32" s="116">
        <f t="shared" si="5"/>
      </c>
      <c r="I32" s="117">
        <f t="shared" si="6"/>
      </c>
      <c r="J32" s="91"/>
      <c r="K32" s="92"/>
      <c r="L32" s="92"/>
      <c r="M32" s="92"/>
      <c r="N32" s="92"/>
      <c r="O32" s="92"/>
      <c r="P32" s="92"/>
      <c r="Q32" s="92"/>
      <c r="R32" s="92">
        <f t="shared" si="4"/>
      </c>
      <c r="S32" s="92"/>
      <c r="T32" s="92"/>
      <c r="U32" s="92"/>
      <c r="V32" s="92"/>
      <c r="W32" s="94"/>
      <c r="X32" s="68"/>
      <c r="Y32" s="99"/>
      <c r="Z32" s="100"/>
      <c r="AA32" s="82"/>
      <c r="AB32" s="72">
        <f t="shared" si="0"/>
        <v>0</v>
      </c>
      <c r="AC32" s="72">
        <f t="shared" si="1"/>
      </c>
    </row>
    <row r="33" spans="1:29" s="12" customFormat="1" ht="24" customHeight="1">
      <c r="A33" s="67"/>
      <c r="B33" s="120"/>
      <c r="C33" s="120"/>
      <c r="D33" s="121"/>
      <c r="E33" s="121"/>
      <c r="F33" s="121"/>
      <c r="G33" s="78"/>
      <c r="H33" s="118">
        <f t="shared" si="5"/>
      </c>
      <c r="I33" s="119">
        <f t="shared" si="6"/>
      </c>
      <c r="J33" s="101"/>
      <c r="K33" s="102"/>
      <c r="L33" s="102"/>
      <c r="M33" s="102"/>
      <c r="N33" s="102"/>
      <c r="O33" s="102"/>
      <c r="P33" s="102"/>
      <c r="Q33" s="102"/>
      <c r="R33" s="102">
        <f t="shared" si="4"/>
      </c>
      <c r="S33" s="102"/>
      <c r="T33" s="102"/>
      <c r="U33" s="102"/>
      <c r="V33" s="102"/>
      <c r="W33" s="103"/>
      <c r="X33" s="104"/>
      <c r="Y33" s="105"/>
      <c r="Z33" s="106"/>
      <c r="AA33" s="82"/>
      <c r="AB33" s="72">
        <f t="shared" si="0"/>
        <v>0</v>
      </c>
      <c r="AC33" s="72">
        <f t="shared" si="1"/>
      </c>
    </row>
    <row r="34" spans="1:29" s="12" customFormat="1" ht="24" customHeight="1">
      <c r="A34" s="67"/>
      <c r="B34" s="120"/>
      <c r="C34" s="120"/>
      <c r="D34" s="121"/>
      <c r="E34" s="121"/>
      <c r="F34" s="121"/>
      <c r="G34" s="78"/>
      <c r="H34" s="116">
        <f t="shared" si="5"/>
      </c>
      <c r="I34" s="117">
        <f t="shared" si="6"/>
      </c>
      <c r="J34" s="91"/>
      <c r="K34" s="92"/>
      <c r="L34" s="92"/>
      <c r="M34" s="92"/>
      <c r="N34" s="92"/>
      <c r="O34" s="92"/>
      <c r="P34" s="92"/>
      <c r="Q34" s="92"/>
      <c r="R34" s="92">
        <f t="shared" si="4"/>
      </c>
      <c r="S34" s="92"/>
      <c r="T34" s="92"/>
      <c r="U34" s="92"/>
      <c r="V34" s="92"/>
      <c r="W34" s="94"/>
      <c r="X34" s="68"/>
      <c r="Y34" s="99"/>
      <c r="Z34" s="100"/>
      <c r="AA34" s="82"/>
      <c r="AB34" s="72">
        <f t="shared" si="0"/>
        <v>0</v>
      </c>
      <c r="AC34" s="72">
        <f t="shared" si="1"/>
      </c>
    </row>
    <row r="35" spans="1:29" s="12" customFormat="1" ht="24" customHeight="1">
      <c r="A35" s="67"/>
      <c r="B35" s="120"/>
      <c r="C35" s="120"/>
      <c r="D35" s="121"/>
      <c r="E35" s="121"/>
      <c r="F35" s="121"/>
      <c r="G35" s="78"/>
      <c r="H35" s="116">
        <f t="shared" si="5"/>
      </c>
      <c r="I35" s="117">
        <f t="shared" si="6"/>
      </c>
      <c r="J35" s="91"/>
      <c r="K35" s="92"/>
      <c r="L35" s="92"/>
      <c r="M35" s="92"/>
      <c r="N35" s="92"/>
      <c r="O35" s="92"/>
      <c r="P35" s="92"/>
      <c r="Q35" s="92"/>
      <c r="R35" s="92">
        <f t="shared" si="4"/>
      </c>
      <c r="S35" s="92"/>
      <c r="T35" s="92"/>
      <c r="U35" s="92"/>
      <c r="V35" s="92"/>
      <c r="W35" s="94"/>
      <c r="X35" s="68"/>
      <c r="Y35" s="99"/>
      <c r="Z35" s="100"/>
      <c r="AA35" s="82"/>
      <c r="AB35" s="72">
        <f t="shared" si="0"/>
        <v>0</v>
      </c>
      <c r="AC35" s="72">
        <f t="shared" si="1"/>
      </c>
    </row>
    <row r="36" spans="1:29" s="12" customFormat="1" ht="24" customHeight="1">
      <c r="A36" s="67"/>
      <c r="B36" s="120"/>
      <c r="C36" s="120"/>
      <c r="D36" s="121"/>
      <c r="E36" s="121"/>
      <c r="F36" s="121"/>
      <c r="G36" s="78"/>
      <c r="H36" s="116">
        <f t="shared" si="5"/>
      </c>
      <c r="I36" s="117">
        <f t="shared" si="6"/>
      </c>
      <c r="J36" s="91"/>
      <c r="K36" s="92"/>
      <c r="L36" s="92"/>
      <c r="M36" s="92"/>
      <c r="N36" s="92"/>
      <c r="O36" s="92"/>
      <c r="P36" s="92"/>
      <c r="Q36" s="92"/>
      <c r="R36" s="92">
        <f t="shared" si="4"/>
      </c>
      <c r="S36" s="92"/>
      <c r="T36" s="92"/>
      <c r="U36" s="92"/>
      <c r="V36" s="92"/>
      <c r="W36" s="94"/>
      <c r="X36" s="68"/>
      <c r="Y36" s="99"/>
      <c r="Z36" s="100"/>
      <c r="AA36" s="82"/>
      <c r="AB36" s="72">
        <f t="shared" si="0"/>
        <v>0</v>
      </c>
      <c r="AC36" s="72">
        <f t="shared" si="1"/>
      </c>
    </row>
    <row r="37" spans="1:29" s="12" customFormat="1" ht="24" customHeight="1">
      <c r="A37" s="67"/>
      <c r="B37" s="120"/>
      <c r="C37" s="120"/>
      <c r="D37" s="123"/>
      <c r="E37" s="123"/>
      <c r="F37" s="121"/>
      <c r="G37" s="78"/>
      <c r="H37" s="116">
        <f t="shared" si="5"/>
      </c>
      <c r="I37" s="117">
        <f t="shared" si="6"/>
      </c>
      <c r="J37" s="91"/>
      <c r="K37" s="92"/>
      <c r="L37" s="92"/>
      <c r="M37" s="92"/>
      <c r="N37" s="92"/>
      <c r="O37" s="92"/>
      <c r="P37" s="92"/>
      <c r="Q37" s="92"/>
      <c r="R37" s="92">
        <f t="shared" si="4"/>
      </c>
      <c r="S37" s="92"/>
      <c r="T37" s="92"/>
      <c r="U37" s="92"/>
      <c r="V37" s="92"/>
      <c r="W37" s="94"/>
      <c r="X37" s="68"/>
      <c r="Y37" s="99"/>
      <c r="Z37" s="100"/>
      <c r="AA37" s="82"/>
      <c r="AB37" s="72">
        <f t="shared" si="0"/>
        <v>0</v>
      </c>
      <c r="AC37" s="72">
        <f t="shared" si="1"/>
      </c>
    </row>
    <row r="38" spans="1:29" s="12" customFormat="1" ht="24" customHeight="1">
      <c r="A38" s="67"/>
      <c r="B38" s="120"/>
      <c r="C38" s="120"/>
      <c r="D38" s="121"/>
      <c r="E38" s="121"/>
      <c r="F38" s="121"/>
      <c r="G38" s="78"/>
      <c r="H38" s="116">
        <f t="shared" si="5"/>
      </c>
      <c r="I38" s="117">
        <f t="shared" si="6"/>
      </c>
      <c r="J38" s="91"/>
      <c r="K38" s="92"/>
      <c r="L38" s="92"/>
      <c r="M38" s="92"/>
      <c r="N38" s="92"/>
      <c r="O38" s="92"/>
      <c r="P38" s="92"/>
      <c r="Q38" s="92"/>
      <c r="R38" s="92">
        <f t="shared" si="4"/>
      </c>
      <c r="S38" s="92"/>
      <c r="T38" s="92"/>
      <c r="U38" s="92"/>
      <c r="V38" s="92"/>
      <c r="W38" s="94"/>
      <c r="X38" s="68"/>
      <c r="Y38" s="99"/>
      <c r="Z38" s="100"/>
      <c r="AA38" s="82"/>
      <c r="AB38" s="72">
        <f t="shared" si="0"/>
        <v>0</v>
      </c>
      <c r="AC38" s="72">
        <f t="shared" si="1"/>
      </c>
    </row>
    <row r="39" spans="1:29" s="12" customFormat="1" ht="24" customHeight="1">
      <c r="A39" s="67"/>
      <c r="B39" s="120"/>
      <c r="C39" s="120"/>
      <c r="D39" s="121"/>
      <c r="E39" s="121"/>
      <c r="F39" s="121"/>
      <c r="G39" s="78"/>
      <c r="H39" s="116">
        <f t="shared" si="5"/>
      </c>
      <c r="I39" s="117">
        <f t="shared" si="6"/>
      </c>
      <c r="J39" s="91"/>
      <c r="K39" s="92"/>
      <c r="L39" s="92"/>
      <c r="M39" s="92"/>
      <c r="N39" s="92"/>
      <c r="O39" s="92"/>
      <c r="P39" s="92"/>
      <c r="Q39" s="92"/>
      <c r="R39" s="92">
        <f t="shared" si="4"/>
      </c>
      <c r="S39" s="92"/>
      <c r="T39" s="92"/>
      <c r="U39" s="92"/>
      <c r="V39" s="92"/>
      <c r="W39" s="94"/>
      <c r="X39" s="68"/>
      <c r="Y39" s="99"/>
      <c r="Z39" s="100"/>
      <c r="AA39" s="82"/>
      <c r="AB39" s="72">
        <f t="shared" si="0"/>
        <v>0</v>
      </c>
      <c r="AC39" s="72">
        <f t="shared" si="1"/>
      </c>
    </row>
    <row r="40" spans="1:29" s="12" customFormat="1" ht="24" customHeight="1">
      <c r="A40" s="67"/>
      <c r="B40" s="120"/>
      <c r="C40" s="120"/>
      <c r="D40" s="121"/>
      <c r="E40" s="121"/>
      <c r="F40" s="121"/>
      <c r="G40" s="78"/>
      <c r="H40" s="116">
        <f t="shared" si="5"/>
      </c>
      <c r="I40" s="117">
        <f t="shared" si="6"/>
      </c>
      <c r="J40" s="91"/>
      <c r="K40" s="92"/>
      <c r="L40" s="92"/>
      <c r="M40" s="92"/>
      <c r="N40" s="92"/>
      <c r="O40" s="92"/>
      <c r="P40" s="92"/>
      <c r="Q40" s="92"/>
      <c r="R40" s="92">
        <f t="shared" si="4"/>
      </c>
      <c r="S40" s="92"/>
      <c r="T40" s="92"/>
      <c r="U40" s="92"/>
      <c r="V40" s="92"/>
      <c r="W40" s="94"/>
      <c r="X40" s="68"/>
      <c r="Y40" s="99"/>
      <c r="Z40" s="100"/>
      <c r="AA40" s="82"/>
      <c r="AB40" s="72">
        <f t="shared" si="0"/>
        <v>0</v>
      </c>
      <c r="AC40" s="72">
        <f t="shared" si="1"/>
      </c>
    </row>
    <row r="41" spans="1:29" s="12" customFormat="1" ht="24" customHeight="1">
      <c r="A41" s="67"/>
      <c r="B41" s="120"/>
      <c r="C41" s="120"/>
      <c r="D41" s="121"/>
      <c r="E41" s="121"/>
      <c r="F41" s="121"/>
      <c r="G41" s="78"/>
      <c r="H41" s="116">
        <f t="shared" si="5"/>
      </c>
      <c r="I41" s="117">
        <f t="shared" si="6"/>
      </c>
      <c r="J41" s="91"/>
      <c r="K41" s="92"/>
      <c r="L41" s="92"/>
      <c r="M41" s="92"/>
      <c r="N41" s="92"/>
      <c r="O41" s="92"/>
      <c r="P41" s="92"/>
      <c r="Q41" s="92"/>
      <c r="R41" s="92">
        <f t="shared" si="4"/>
      </c>
      <c r="S41" s="92"/>
      <c r="T41" s="92"/>
      <c r="U41" s="92"/>
      <c r="V41" s="92"/>
      <c r="W41" s="94"/>
      <c r="X41" s="68"/>
      <c r="Y41" s="99"/>
      <c r="Z41" s="100"/>
      <c r="AA41" s="82"/>
      <c r="AB41" s="72">
        <f t="shared" si="0"/>
        <v>0</v>
      </c>
      <c r="AC41" s="72">
        <f t="shared" si="1"/>
      </c>
    </row>
    <row r="42" spans="1:29" s="12" customFormat="1" ht="24" customHeight="1">
      <c r="A42" s="67"/>
      <c r="B42" s="120"/>
      <c r="C42" s="120"/>
      <c r="D42" s="121"/>
      <c r="E42" s="121"/>
      <c r="F42" s="121"/>
      <c r="G42" s="78"/>
      <c r="H42" s="116">
        <f t="shared" si="5"/>
      </c>
      <c r="I42" s="117">
        <f t="shared" si="6"/>
      </c>
      <c r="J42" s="91"/>
      <c r="K42" s="92"/>
      <c r="L42" s="92"/>
      <c r="M42" s="92"/>
      <c r="N42" s="92"/>
      <c r="O42" s="92"/>
      <c r="P42" s="92"/>
      <c r="Q42" s="92"/>
      <c r="R42" s="92">
        <f t="shared" si="4"/>
      </c>
      <c r="S42" s="92"/>
      <c r="T42" s="92"/>
      <c r="U42" s="92"/>
      <c r="V42" s="92"/>
      <c r="W42" s="94"/>
      <c r="X42" s="68"/>
      <c r="Y42" s="99"/>
      <c r="Z42" s="100"/>
      <c r="AA42" s="82"/>
      <c r="AB42" s="72">
        <f t="shared" si="0"/>
        <v>0</v>
      </c>
      <c r="AC42" s="72">
        <f t="shared" si="1"/>
      </c>
    </row>
    <row r="43" spans="1:29" s="12" customFormat="1" ht="24" customHeight="1">
      <c r="A43" s="67"/>
      <c r="B43" s="120"/>
      <c r="C43" s="120"/>
      <c r="D43" s="121"/>
      <c r="E43" s="121"/>
      <c r="F43" s="121"/>
      <c r="G43" s="78"/>
      <c r="H43" s="116">
        <f t="shared" si="5"/>
      </c>
      <c r="I43" s="117">
        <f t="shared" si="6"/>
      </c>
      <c r="J43" s="91"/>
      <c r="K43" s="92"/>
      <c r="L43" s="92"/>
      <c r="M43" s="92"/>
      <c r="N43" s="92"/>
      <c r="O43" s="92"/>
      <c r="P43" s="92"/>
      <c r="Q43" s="92"/>
      <c r="R43" s="92">
        <f aca="true" t="shared" si="7" ref="R43:R71">IF((P43*Q43)=0,"",P43*Q43)</f>
      </c>
      <c r="S43" s="92"/>
      <c r="T43" s="92"/>
      <c r="U43" s="92"/>
      <c r="V43" s="92"/>
      <c r="W43" s="94"/>
      <c r="X43" s="68"/>
      <c r="Y43" s="99"/>
      <c r="Z43" s="100"/>
      <c r="AA43" s="82"/>
      <c r="AB43" s="72">
        <f t="shared" si="0"/>
        <v>0</v>
      </c>
      <c r="AC43" s="72">
        <f t="shared" si="1"/>
      </c>
    </row>
    <row r="44" spans="1:29" s="12" customFormat="1" ht="24" customHeight="1">
      <c r="A44" s="67"/>
      <c r="B44" s="120"/>
      <c r="C44" s="120"/>
      <c r="D44" s="121"/>
      <c r="E44" s="121"/>
      <c r="F44" s="121"/>
      <c r="G44" s="78"/>
      <c r="H44" s="116">
        <f t="shared" si="5"/>
      </c>
      <c r="I44" s="117">
        <f t="shared" si="6"/>
      </c>
      <c r="J44" s="91"/>
      <c r="K44" s="92"/>
      <c r="L44" s="92"/>
      <c r="M44" s="92"/>
      <c r="N44" s="92"/>
      <c r="O44" s="92"/>
      <c r="P44" s="92"/>
      <c r="Q44" s="92"/>
      <c r="R44" s="92">
        <f t="shared" si="7"/>
      </c>
      <c r="S44" s="92"/>
      <c r="T44" s="92"/>
      <c r="U44" s="92"/>
      <c r="V44" s="92"/>
      <c r="W44" s="94"/>
      <c r="X44" s="68"/>
      <c r="Y44" s="99"/>
      <c r="Z44" s="100"/>
      <c r="AA44" s="82"/>
      <c r="AB44" s="72">
        <f t="shared" si="0"/>
        <v>0</v>
      </c>
      <c r="AC44" s="72">
        <f t="shared" si="1"/>
      </c>
    </row>
    <row r="45" spans="1:29" s="12" customFormat="1" ht="24" customHeight="1">
      <c r="A45" s="67"/>
      <c r="B45" s="120"/>
      <c r="C45" s="120"/>
      <c r="D45" s="121"/>
      <c r="E45" s="121"/>
      <c r="F45" s="121"/>
      <c r="G45" s="78"/>
      <c r="H45" s="116">
        <f t="shared" si="5"/>
      </c>
      <c r="I45" s="117">
        <f t="shared" si="6"/>
      </c>
      <c r="J45" s="91"/>
      <c r="K45" s="92"/>
      <c r="L45" s="92"/>
      <c r="M45" s="92"/>
      <c r="N45" s="92"/>
      <c r="O45" s="92"/>
      <c r="P45" s="92"/>
      <c r="Q45" s="92"/>
      <c r="R45" s="92">
        <f t="shared" si="7"/>
      </c>
      <c r="S45" s="92"/>
      <c r="T45" s="92"/>
      <c r="U45" s="92"/>
      <c r="V45" s="92"/>
      <c r="W45" s="94"/>
      <c r="X45" s="68"/>
      <c r="Y45" s="99"/>
      <c r="Z45" s="100"/>
      <c r="AA45" s="82"/>
      <c r="AB45" s="72">
        <f t="shared" si="0"/>
        <v>0</v>
      </c>
      <c r="AC45" s="72">
        <f t="shared" si="1"/>
      </c>
    </row>
    <row r="46" spans="1:29" s="12" customFormat="1" ht="24" customHeight="1">
      <c r="A46" s="67"/>
      <c r="B46" s="120"/>
      <c r="C46" s="120"/>
      <c r="D46" s="121"/>
      <c r="E46" s="121"/>
      <c r="F46" s="121"/>
      <c r="G46" s="78"/>
      <c r="H46" s="116">
        <f t="shared" si="5"/>
      </c>
      <c r="I46" s="117">
        <f t="shared" si="6"/>
      </c>
      <c r="J46" s="91"/>
      <c r="K46" s="92"/>
      <c r="L46" s="92"/>
      <c r="M46" s="92"/>
      <c r="N46" s="92"/>
      <c r="O46" s="92"/>
      <c r="P46" s="92"/>
      <c r="Q46" s="92"/>
      <c r="R46" s="92">
        <f t="shared" si="7"/>
      </c>
      <c r="S46" s="92"/>
      <c r="T46" s="92"/>
      <c r="U46" s="92"/>
      <c r="V46" s="92"/>
      <c r="W46" s="94"/>
      <c r="X46" s="68"/>
      <c r="Y46" s="99"/>
      <c r="Z46" s="100"/>
      <c r="AA46" s="82"/>
      <c r="AB46" s="72">
        <f aca="true" t="shared" si="8" ref="AB46:AB72">IF(V45=0,0,$E46)</f>
        <v>0</v>
      </c>
      <c r="AC46" s="72">
        <f aca="true" t="shared" si="9" ref="AC46:AC72">IF((V45*AB46)=0,"",V45*AB46)</f>
      </c>
    </row>
    <row r="47" spans="1:29" s="12" customFormat="1" ht="24" customHeight="1">
      <c r="A47" s="67"/>
      <c r="B47" s="120"/>
      <c r="C47" s="120"/>
      <c r="D47" s="121"/>
      <c r="E47" s="121"/>
      <c r="F47" s="121"/>
      <c r="G47" s="78"/>
      <c r="H47" s="116">
        <f t="shared" si="5"/>
      </c>
      <c r="I47" s="117">
        <f t="shared" si="6"/>
      </c>
      <c r="J47" s="91"/>
      <c r="K47" s="92"/>
      <c r="L47" s="92"/>
      <c r="M47" s="92"/>
      <c r="N47" s="92"/>
      <c r="O47" s="92"/>
      <c r="P47" s="92"/>
      <c r="Q47" s="92"/>
      <c r="R47" s="92">
        <f t="shared" si="7"/>
      </c>
      <c r="S47" s="92"/>
      <c r="T47" s="92"/>
      <c r="U47" s="92"/>
      <c r="V47" s="92"/>
      <c r="W47" s="94"/>
      <c r="X47" s="68"/>
      <c r="Y47" s="99"/>
      <c r="Z47" s="100"/>
      <c r="AA47" s="82"/>
      <c r="AB47" s="72">
        <f t="shared" si="8"/>
        <v>0</v>
      </c>
      <c r="AC47" s="72">
        <f t="shared" si="9"/>
      </c>
    </row>
    <row r="48" spans="1:29" s="12" customFormat="1" ht="24" customHeight="1">
      <c r="A48" s="67"/>
      <c r="B48" s="120"/>
      <c r="C48" s="120"/>
      <c r="D48" s="121"/>
      <c r="E48" s="121"/>
      <c r="F48" s="121"/>
      <c r="G48" s="78"/>
      <c r="H48" s="116">
        <f t="shared" si="5"/>
      </c>
      <c r="I48" s="117">
        <f t="shared" si="6"/>
      </c>
      <c r="J48" s="91"/>
      <c r="K48" s="92"/>
      <c r="L48" s="92"/>
      <c r="M48" s="92"/>
      <c r="N48" s="92"/>
      <c r="O48" s="92"/>
      <c r="P48" s="92"/>
      <c r="Q48" s="92"/>
      <c r="R48" s="92">
        <f t="shared" si="7"/>
      </c>
      <c r="S48" s="92"/>
      <c r="T48" s="92"/>
      <c r="U48" s="92"/>
      <c r="V48" s="92"/>
      <c r="W48" s="94"/>
      <c r="X48" s="68"/>
      <c r="Y48" s="99"/>
      <c r="Z48" s="100"/>
      <c r="AA48" s="82"/>
      <c r="AB48" s="72">
        <f t="shared" si="8"/>
        <v>0</v>
      </c>
      <c r="AC48" s="72">
        <f t="shared" si="9"/>
      </c>
    </row>
    <row r="49" spans="1:29" s="12" customFormat="1" ht="24" customHeight="1">
      <c r="A49" s="67"/>
      <c r="B49" s="124"/>
      <c r="C49" s="120"/>
      <c r="D49" s="121"/>
      <c r="E49" s="121"/>
      <c r="F49" s="121"/>
      <c r="G49" s="78"/>
      <c r="H49" s="116">
        <f t="shared" si="5"/>
      </c>
      <c r="I49" s="117">
        <f t="shared" si="6"/>
      </c>
      <c r="J49" s="91"/>
      <c r="K49" s="92"/>
      <c r="L49" s="92"/>
      <c r="M49" s="92"/>
      <c r="N49" s="92"/>
      <c r="O49" s="92"/>
      <c r="P49" s="92"/>
      <c r="Q49" s="92"/>
      <c r="R49" s="92">
        <f t="shared" si="7"/>
      </c>
      <c r="S49" s="92"/>
      <c r="T49" s="92"/>
      <c r="U49" s="92"/>
      <c r="V49" s="92"/>
      <c r="W49" s="94"/>
      <c r="X49" s="68"/>
      <c r="Y49" s="99"/>
      <c r="Z49" s="100"/>
      <c r="AA49" s="82"/>
      <c r="AB49" s="72">
        <f t="shared" si="8"/>
        <v>0</v>
      </c>
      <c r="AC49" s="72">
        <f t="shared" si="9"/>
      </c>
    </row>
    <row r="50" spans="1:29" s="12" customFormat="1" ht="24" customHeight="1">
      <c r="A50" s="67"/>
      <c r="B50" s="124"/>
      <c r="C50" s="120"/>
      <c r="D50" s="121"/>
      <c r="E50" s="121"/>
      <c r="F50" s="121"/>
      <c r="G50" s="78"/>
      <c r="H50" s="116">
        <f t="shared" si="5"/>
      </c>
      <c r="I50" s="117">
        <f t="shared" si="6"/>
      </c>
      <c r="J50" s="91"/>
      <c r="K50" s="92"/>
      <c r="L50" s="92"/>
      <c r="M50" s="92"/>
      <c r="N50" s="92"/>
      <c r="O50" s="92"/>
      <c r="P50" s="92"/>
      <c r="Q50" s="92"/>
      <c r="R50" s="92">
        <f t="shared" si="7"/>
      </c>
      <c r="S50" s="92"/>
      <c r="T50" s="92"/>
      <c r="U50" s="92"/>
      <c r="V50" s="92"/>
      <c r="W50" s="94"/>
      <c r="X50" s="68"/>
      <c r="Y50" s="99"/>
      <c r="Z50" s="100"/>
      <c r="AA50" s="82"/>
      <c r="AB50" s="72">
        <f t="shared" si="8"/>
        <v>0</v>
      </c>
      <c r="AC50" s="72">
        <f t="shared" si="9"/>
      </c>
    </row>
    <row r="51" spans="1:29" s="12" customFormat="1" ht="24" customHeight="1">
      <c r="A51" s="67"/>
      <c r="B51" s="120"/>
      <c r="C51" s="120"/>
      <c r="D51" s="121"/>
      <c r="E51" s="121"/>
      <c r="F51" s="121"/>
      <c r="G51" s="78"/>
      <c r="H51" s="116">
        <f t="shared" si="5"/>
      </c>
      <c r="I51" s="117">
        <f t="shared" si="6"/>
      </c>
      <c r="J51" s="91"/>
      <c r="K51" s="92"/>
      <c r="L51" s="92"/>
      <c r="M51" s="92"/>
      <c r="N51" s="92"/>
      <c r="O51" s="92"/>
      <c r="P51" s="92"/>
      <c r="Q51" s="92"/>
      <c r="R51" s="92">
        <f t="shared" si="7"/>
      </c>
      <c r="S51" s="92"/>
      <c r="T51" s="92"/>
      <c r="U51" s="92"/>
      <c r="V51" s="92"/>
      <c r="W51" s="94"/>
      <c r="X51" s="68"/>
      <c r="Y51" s="99"/>
      <c r="Z51" s="100"/>
      <c r="AA51" s="82"/>
      <c r="AB51" s="72">
        <f t="shared" si="8"/>
        <v>0</v>
      </c>
      <c r="AC51" s="72">
        <f t="shared" si="9"/>
      </c>
    </row>
    <row r="52" spans="1:29" s="12" customFormat="1" ht="24" customHeight="1">
      <c r="A52" s="67"/>
      <c r="B52" s="120"/>
      <c r="C52" s="120"/>
      <c r="D52" s="121"/>
      <c r="E52" s="121"/>
      <c r="F52" s="121"/>
      <c r="G52" s="78"/>
      <c r="H52" s="116">
        <f t="shared" si="5"/>
      </c>
      <c r="I52" s="117">
        <f t="shared" si="6"/>
      </c>
      <c r="J52" s="91"/>
      <c r="K52" s="92"/>
      <c r="L52" s="92"/>
      <c r="M52" s="92"/>
      <c r="N52" s="92"/>
      <c r="O52" s="92"/>
      <c r="P52" s="92"/>
      <c r="Q52" s="92"/>
      <c r="R52" s="92">
        <f t="shared" si="7"/>
      </c>
      <c r="S52" s="92"/>
      <c r="T52" s="92"/>
      <c r="U52" s="92"/>
      <c r="V52" s="92"/>
      <c r="W52" s="94"/>
      <c r="X52" s="68"/>
      <c r="Y52" s="99"/>
      <c r="Z52" s="100"/>
      <c r="AA52" s="82"/>
      <c r="AB52" s="72">
        <f t="shared" si="8"/>
        <v>0</v>
      </c>
      <c r="AC52" s="72">
        <f t="shared" si="9"/>
      </c>
    </row>
    <row r="53" spans="1:29" s="12" customFormat="1" ht="24" customHeight="1">
      <c r="A53" s="67"/>
      <c r="B53" s="120"/>
      <c r="C53" s="120"/>
      <c r="D53" s="121"/>
      <c r="E53" s="121"/>
      <c r="F53" s="121"/>
      <c r="G53" s="78"/>
      <c r="H53" s="116">
        <f t="shared" si="5"/>
      </c>
      <c r="I53" s="117">
        <f t="shared" si="6"/>
      </c>
      <c r="J53" s="91"/>
      <c r="K53" s="92"/>
      <c r="L53" s="92"/>
      <c r="M53" s="92"/>
      <c r="N53" s="92"/>
      <c r="O53" s="92"/>
      <c r="P53" s="92"/>
      <c r="Q53" s="92"/>
      <c r="R53" s="92">
        <f t="shared" si="7"/>
      </c>
      <c r="S53" s="92"/>
      <c r="T53" s="92"/>
      <c r="U53" s="92"/>
      <c r="V53" s="92"/>
      <c r="W53" s="94"/>
      <c r="X53" s="68"/>
      <c r="Y53" s="99"/>
      <c r="Z53" s="100"/>
      <c r="AA53" s="82"/>
      <c r="AB53" s="72">
        <f t="shared" si="8"/>
        <v>0</v>
      </c>
      <c r="AC53" s="72">
        <f t="shared" si="9"/>
      </c>
    </row>
    <row r="54" spans="1:29" s="12" customFormat="1" ht="24" customHeight="1">
      <c r="A54" s="67"/>
      <c r="B54" s="120"/>
      <c r="C54" s="120"/>
      <c r="D54" s="121"/>
      <c r="E54" s="121"/>
      <c r="F54" s="121"/>
      <c r="G54" s="78"/>
      <c r="H54" s="116">
        <f t="shared" si="5"/>
      </c>
      <c r="I54" s="117">
        <f t="shared" si="6"/>
      </c>
      <c r="J54" s="91"/>
      <c r="K54" s="92"/>
      <c r="L54" s="92"/>
      <c r="M54" s="92"/>
      <c r="N54" s="92"/>
      <c r="O54" s="92"/>
      <c r="P54" s="92"/>
      <c r="Q54" s="92"/>
      <c r="R54" s="92">
        <f t="shared" si="7"/>
      </c>
      <c r="S54" s="92"/>
      <c r="T54" s="92"/>
      <c r="U54" s="92"/>
      <c r="V54" s="92"/>
      <c r="W54" s="94"/>
      <c r="X54" s="68"/>
      <c r="Y54" s="99"/>
      <c r="Z54" s="100"/>
      <c r="AA54" s="82"/>
      <c r="AB54" s="72">
        <f t="shared" si="8"/>
        <v>0</v>
      </c>
      <c r="AC54" s="72">
        <f t="shared" si="9"/>
      </c>
    </row>
    <row r="55" spans="1:29" s="12" customFormat="1" ht="24" customHeight="1">
      <c r="A55" s="67"/>
      <c r="B55" s="120"/>
      <c r="C55" s="120"/>
      <c r="D55" s="121"/>
      <c r="E55" s="121"/>
      <c r="F55" s="121"/>
      <c r="G55" s="78"/>
      <c r="H55" s="116">
        <f t="shared" si="5"/>
      </c>
      <c r="I55" s="117">
        <f t="shared" si="6"/>
      </c>
      <c r="J55" s="91"/>
      <c r="K55" s="92"/>
      <c r="L55" s="92"/>
      <c r="M55" s="92"/>
      <c r="N55" s="92"/>
      <c r="O55" s="92"/>
      <c r="P55" s="92"/>
      <c r="Q55" s="92"/>
      <c r="R55" s="92">
        <f t="shared" si="7"/>
      </c>
      <c r="S55" s="92"/>
      <c r="T55" s="92"/>
      <c r="U55" s="92"/>
      <c r="V55" s="92"/>
      <c r="W55" s="94"/>
      <c r="X55" s="68"/>
      <c r="Y55" s="99"/>
      <c r="Z55" s="100"/>
      <c r="AA55" s="82"/>
      <c r="AB55" s="72">
        <f t="shared" si="8"/>
        <v>0</v>
      </c>
      <c r="AC55" s="72">
        <f t="shared" si="9"/>
      </c>
    </row>
    <row r="56" spans="1:29" s="12" customFormat="1" ht="24" customHeight="1">
      <c r="A56" s="67"/>
      <c r="B56" s="120"/>
      <c r="C56" s="124"/>
      <c r="D56" s="123"/>
      <c r="E56" s="123"/>
      <c r="F56" s="123"/>
      <c r="G56" s="78"/>
      <c r="H56" s="116">
        <f t="shared" si="5"/>
      </c>
      <c r="I56" s="117">
        <f t="shared" si="6"/>
      </c>
      <c r="J56" s="91"/>
      <c r="K56" s="92"/>
      <c r="L56" s="92"/>
      <c r="M56" s="92"/>
      <c r="N56" s="92"/>
      <c r="O56" s="92"/>
      <c r="P56" s="92"/>
      <c r="Q56" s="92"/>
      <c r="R56" s="92">
        <f t="shared" si="7"/>
      </c>
      <c r="S56" s="92"/>
      <c r="T56" s="92"/>
      <c r="U56" s="92"/>
      <c r="V56" s="92"/>
      <c r="W56" s="94"/>
      <c r="X56" s="68"/>
      <c r="Y56" s="99"/>
      <c r="Z56" s="100"/>
      <c r="AA56" s="82"/>
      <c r="AB56" s="72">
        <f t="shared" si="8"/>
        <v>0</v>
      </c>
      <c r="AC56" s="72">
        <f t="shared" si="9"/>
      </c>
    </row>
    <row r="57" spans="1:29" s="12" customFormat="1" ht="24" customHeight="1">
      <c r="A57" s="67"/>
      <c r="B57" s="120"/>
      <c r="C57" s="124"/>
      <c r="D57" s="123"/>
      <c r="E57" s="123"/>
      <c r="F57" s="123"/>
      <c r="G57" s="78"/>
      <c r="H57" s="116">
        <f aca="true" t="shared" si="10" ref="H57:H63">IF(B58="","",B58)</f>
      </c>
      <c r="I57" s="117">
        <f aca="true" t="shared" si="11" ref="I57:I63">IF(C58="","",C58)</f>
      </c>
      <c r="J57" s="91"/>
      <c r="K57" s="92"/>
      <c r="L57" s="92"/>
      <c r="M57" s="92"/>
      <c r="N57" s="92"/>
      <c r="O57" s="92"/>
      <c r="P57" s="92"/>
      <c r="Q57" s="92"/>
      <c r="R57" s="92">
        <f aca="true" t="shared" si="12" ref="R57:R63">IF((P57*Q57)=0,"",P57*Q57)</f>
      </c>
      <c r="S57" s="92"/>
      <c r="T57" s="92"/>
      <c r="U57" s="92"/>
      <c r="V57" s="92"/>
      <c r="W57" s="94"/>
      <c r="X57" s="68"/>
      <c r="Y57" s="99"/>
      <c r="Z57" s="100"/>
      <c r="AA57" s="82"/>
      <c r="AB57" s="72">
        <f aca="true" t="shared" si="13" ref="AB57:AB65">IF(V56=0,0,$E57)</f>
        <v>0</v>
      </c>
      <c r="AC57" s="72">
        <f aca="true" t="shared" si="14" ref="AC57:AC65">IF((V56*AB57)=0,"",V56*AB57)</f>
      </c>
    </row>
    <row r="58" spans="1:29" s="12" customFormat="1" ht="24" customHeight="1">
      <c r="A58" s="67"/>
      <c r="B58" s="120"/>
      <c r="C58" s="124"/>
      <c r="D58" s="123"/>
      <c r="E58" s="123"/>
      <c r="F58" s="123"/>
      <c r="G58" s="78"/>
      <c r="H58" s="116">
        <f t="shared" si="10"/>
      </c>
      <c r="I58" s="117">
        <f t="shared" si="11"/>
      </c>
      <c r="J58" s="91"/>
      <c r="K58" s="92"/>
      <c r="L58" s="92"/>
      <c r="M58" s="92"/>
      <c r="N58" s="92"/>
      <c r="O58" s="92"/>
      <c r="P58" s="92"/>
      <c r="Q58" s="92"/>
      <c r="R58" s="92">
        <f t="shared" si="12"/>
      </c>
      <c r="S58" s="92"/>
      <c r="T58" s="92"/>
      <c r="U58" s="92"/>
      <c r="V58" s="92"/>
      <c r="W58" s="94"/>
      <c r="X58" s="68"/>
      <c r="Y58" s="99"/>
      <c r="Z58" s="100"/>
      <c r="AA58" s="82"/>
      <c r="AB58" s="72">
        <f t="shared" si="13"/>
        <v>0</v>
      </c>
      <c r="AC58" s="72">
        <f t="shared" si="14"/>
      </c>
    </row>
    <row r="59" spans="1:29" s="12" customFormat="1" ht="24" customHeight="1">
      <c r="A59" s="67"/>
      <c r="B59" s="120"/>
      <c r="C59" s="124"/>
      <c r="D59" s="123"/>
      <c r="E59" s="123"/>
      <c r="F59" s="123"/>
      <c r="G59" s="78"/>
      <c r="H59" s="116">
        <f t="shared" si="10"/>
      </c>
      <c r="I59" s="117">
        <f t="shared" si="11"/>
      </c>
      <c r="J59" s="91"/>
      <c r="K59" s="92"/>
      <c r="L59" s="92"/>
      <c r="M59" s="92"/>
      <c r="N59" s="92"/>
      <c r="O59" s="92"/>
      <c r="P59" s="92"/>
      <c r="Q59" s="92"/>
      <c r="R59" s="92">
        <f t="shared" si="12"/>
      </c>
      <c r="S59" s="92"/>
      <c r="T59" s="92"/>
      <c r="U59" s="92"/>
      <c r="V59" s="92"/>
      <c r="W59" s="94"/>
      <c r="X59" s="68"/>
      <c r="Y59" s="99"/>
      <c r="Z59" s="100"/>
      <c r="AA59" s="82"/>
      <c r="AB59" s="72">
        <f t="shared" si="13"/>
        <v>0</v>
      </c>
      <c r="AC59" s="72">
        <f t="shared" si="14"/>
      </c>
    </row>
    <row r="60" spans="1:29" s="12" customFormat="1" ht="24" customHeight="1">
      <c r="A60" s="67"/>
      <c r="B60" s="120"/>
      <c r="C60" s="124"/>
      <c r="D60" s="123"/>
      <c r="E60" s="123"/>
      <c r="F60" s="123"/>
      <c r="G60" s="78"/>
      <c r="H60" s="116">
        <f t="shared" si="10"/>
      </c>
      <c r="I60" s="117">
        <f t="shared" si="11"/>
      </c>
      <c r="J60" s="91"/>
      <c r="K60" s="92"/>
      <c r="L60" s="92"/>
      <c r="M60" s="92"/>
      <c r="N60" s="92"/>
      <c r="O60" s="92"/>
      <c r="P60" s="92"/>
      <c r="Q60" s="92"/>
      <c r="R60" s="92">
        <f t="shared" si="12"/>
      </c>
      <c r="S60" s="92"/>
      <c r="T60" s="92"/>
      <c r="U60" s="92"/>
      <c r="V60" s="92"/>
      <c r="W60" s="94"/>
      <c r="X60" s="68"/>
      <c r="Y60" s="99"/>
      <c r="Z60" s="100"/>
      <c r="AA60" s="82"/>
      <c r="AB60" s="72">
        <f t="shared" si="13"/>
        <v>0</v>
      </c>
      <c r="AC60" s="72">
        <f t="shared" si="14"/>
      </c>
    </row>
    <row r="61" spans="1:29" s="12" customFormat="1" ht="24" customHeight="1">
      <c r="A61" s="67"/>
      <c r="B61" s="120"/>
      <c r="C61" s="124"/>
      <c r="D61" s="123"/>
      <c r="E61" s="123"/>
      <c r="F61" s="123"/>
      <c r="G61" s="78"/>
      <c r="H61" s="116">
        <f t="shared" si="10"/>
      </c>
      <c r="I61" s="117">
        <f t="shared" si="11"/>
      </c>
      <c r="J61" s="91"/>
      <c r="K61" s="92"/>
      <c r="L61" s="92"/>
      <c r="M61" s="92"/>
      <c r="N61" s="92"/>
      <c r="O61" s="92"/>
      <c r="P61" s="92"/>
      <c r="Q61" s="92"/>
      <c r="R61" s="92">
        <f t="shared" si="12"/>
      </c>
      <c r="S61" s="92"/>
      <c r="T61" s="92"/>
      <c r="U61" s="92"/>
      <c r="V61" s="92"/>
      <c r="W61" s="94"/>
      <c r="X61" s="68"/>
      <c r="Y61" s="99"/>
      <c r="Z61" s="100"/>
      <c r="AA61" s="82"/>
      <c r="AB61" s="72">
        <f t="shared" si="13"/>
        <v>0</v>
      </c>
      <c r="AC61" s="72">
        <f t="shared" si="14"/>
      </c>
    </row>
    <row r="62" spans="1:29" s="12" customFormat="1" ht="24" customHeight="1">
      <c r="A62" s="67"/>
      <c r="B62" s="120"/>
      <c r="C62" s="124"/>
      <c r="D62" s="123"/>
      <c r="E62" s="123"/>
      <c r="F62" s="123"/>
      <c r="G62" s="78"/>
      <c r="H62" s="116">
        <f t="shared" si="10"/>
      </c>
      <c r="I62" s="117">
        <f t="shared" si="11"/>
      </c>
      <c r="J62" s="91"/>
      <c r="K62" s="92"/>
      <c r="L62" s="92"/>
      <c r="M62" s="92"/>
      <c r="N62" s="92"/>
      <c r="O62" s="92"/>
      <c r="P62" s="92"/>
      <c r="Q62" s="92"/>
      <c r="R62" s="92">
        <f t="shared" si="12"/>
      </c>
      <c r="S62" s="92"/>
      <c r="T62" s="92"/>
      <c r="U62" s="92"/>
      <c r="V62" s="92"/>
      <c r="W62" s="94"/>
      <c r="X62" s="68"/>
      <c r="Y62" s="99"/>
      <c r="Z62" s="100"/>
      <c r="AA62" s="82"/>
      <c r="AB62" s="72">
        <f t="shared" si="13"/>
        <v>0</v>
      </c>
      <c r="AC62" s="72">
        <f t="shared" si="14"/>
      </c>
    </row>
    <row r="63" spans="1:29" s="12" customFormat="1" ht="24" customHeight="1">
      <c r="A63" s="67"/>
      <c r="B63" s="120"/>
      <c r="C63" s="124"/>
      <c r="D63" s="123"/>
      <c r="E63" s="123"/>
      <c r="F63" s="123"/>
      <c r="G63" s="78"/>
      <c r="H63" s="116">
        <f t="shared" si="10"/>
      </c>
      <c r="I63" s="117">
        <f t="shared" si="11"/>
      </c>
      <c r="J63" s="91"/>
      <c r="K63" s="92"/>
      <c r="L63" s="92"/>
      <c r="M63" s="92"/>
      <c r="N63" s="92"/>
      <c r="O63" s="92"/>
      <c r="P63" s="92"/>
      <c r="Q63" s="92"/>
      <c r="R63" s="92">
        <f t="shared" si="12"/>
      </c>
      <c r="S63" s="92"/>
      <c r="T63" s="92"/>
      <c r="U63" s="92"/>
      <c r="V63" s="92"/>
      <c r="W63" s="94"/>
      <c r="X63" s="68"/>
      <c r="Y63" s="99"/>
      <c r="Z63" s="100"/>
      <c r="AA63" s="82"/>
      <c r="AB63" s="72">
        <f t="shared" si="13"/>
        <v>0</v>
      </c>
      <c r="AC63" s="72">
        <f t="shared" si="14"/>
      </c>
    </row>
    <row r="64" spans="1:29" s="12" customFormat="1" ht="24" customHeight="1">
      <c r="A64" s="67"/>
      <c r="B64" s="120"/>
      <c r="C64" s="124"/>
      <c r="D64" s="123"/>
      <c r="E64" s="123"/>
      <c r="F64" s="123"/>
      <c r="G64" s="78"/>
      <c r="H64" s="116">
        <f t="shared" si="5"/>
      </c>
      <c r="I64" s="117">
        <f t="shared" si="6"/>
      </c>
      <c r="J64" s="91"/>
      <c r="K64" s="92"/>
      <c r="L64" s="92"/>
      <c r="M64" s="92"/>
      <c r="N64" s="92"/>
      <c r="O64" s="92"/>
      <c r="P64" s="92"/>
      <c r="Q64" s="92"/>
      <c r="R64" s="92">
        <f t="shared" si="7"/>
      </c>
      <c r="S64" s="92"/>
      <c r="T64" s="92"/>
      <c r="U64" s="92"/>
      <c r="V64" s="92"/>
      <c r="W64" s="94"/>
      <c r="X64" s="68"/>
      <c r="Y64" s="99"/>
      <c r="Z64" s="100"/>
      <c r="AA64" s="82"/>
      <c r="AB64" s="72">
        <f t="shared" si="13"/>
        <v>0</v>
      </c>
      <c r="AC64" s="72">
        <f t="shared" si="14"/>
      </c>
    </row>
    <row r="65" spans="1:29" s="12" customFormat="1" ht="24" customHeight="1">
      <c r="A65" s="67"/>
      <c r="B65" s="120"/>
      <c r="C65" s="124"/>
      <c r="D65" s="123"/>
      <c r="E65" s="123"/>
      <c r="F65" s="123"/>
      <c r="G65" s="78"/>
      <c r="H65" s="116">
        <f t="shared" si="5"/>
      </c>
      <c r="I65" s="117">
        <f t="shared" si="6"/>
      </c>
      <c r="J65" s="91"/>
      <c r="K65" s="92"/>
      <c r="L65" s="92"/>
      <c r="M65" s="92"/>
      <c r="N65" s="92"/>
      <c r="O65" s="92"/>
      <c r="P65" s="92"/>
      <c r="Q65" s="92"/>
      <c r="R65" s="92">
        <f t="shared" si="7"/>
      </c>
      <c r="S65" s="92"/>
      <c r="T65" s="92"/>
      <c r="U65" s="92"/>
      <c r="V65" s="92"/>
      <c r="W65" s="94"/>
      <c r="X65" s="68"/>
      <c r="Y65" s="99"/>
      <c r="Z65" s="100"/>
      <c r="AA65" s="82"/>
      <c r="AB65" s="72">
        <f t="shared" si="13"/>
        <v>0</v>
      </c>
      <c r="AC65" s="72">
        <f t="shared" si="14"/>
      </c>
    </row>
    <row r="66" spans="1:29" s="12" customFormat="1" ht="24" customHeight="1">
      <c r="A66" s="67"/>
      <c r="B66" s="120"/>
      <c r="C66" s="124"/>
      <c r="D66" s="123"/>
      <c r="E66" s="123"/>
      <c r="F66" s="123"/>
      <c r="G66" s="78"/>
      <c r="H66" s="116">
        <f t="shared" si="5"/>
      </c>
      <c r="I66" s="117">
        <f t="shared" si="6"/>
      </c>
      <c r="J66" s="91"/>
      <c r="K66" s="92"/>
      <c r="L66" s="92"/>
      <c r="M66" s="92"/>
      <c r="N66" s="92"/>
      <c r="O66" s="92"/>
      <c r="P66" s="92"/>
      <c r="Q66" s="92"/>
      <c r="R66" s="92">
        <f t="shared" si="7"/>
      </c>
      <c r="S66" s="92"/>
      <c r="T66" s="92"/>
      <c r="U66" s="92"/>
      <c r="V66" s="92"/>
      <c r="W66" s="94"/>
      <c r="X66" s="68"/>
      <c r="Y66" s="99"/>
      <c r="Z66" s="100"/>
      <c r="AA66" s="82"/>
      <c r="AB66" s="72">
        <f t="shared" si="8"/>
        <v>0</v>
      </c>
      <c r="AC66" s="72">
        <f t="shared" si="9"/>
      </c>
    </row>
    <row r="67" spans="1:29" s="12" customFormat="1" ht="24" customHeight="1">
      <c r="A67" s="67"/>
      <c r="B67" s="120"/>
      <c r="C67" s="124"/>
      <c r="D67" s="123"/>
      <c r="E67" s="123"/>
      <c r="F67" s="123"/>
      <c r="G67" s="78"/>
      <c r="H67" s="116">
        <f>IF(B68="","",B68)</f>
      </c>
      <c r="I67" s="117">
        <f>IF(C68="","",C68)</f>
      </c>
      <c r="J67" s="91"/>
      <c r="K67" s="92"/>
      <c r="L67" s="92"/>
      <c r="M67" s="92"/>
      <c r="N67" s="92"/>
      <c r="O67" s="92"/>
      <c r="P67" s="92"/>
      <c r="Q67" s="92"/>
      <c r="R67" s="92">
        <f t="shared" si="7"/>
      </c>
      <c r="S67" s="92"/>
      <c r="T67" s="92"/>
      <c r="U67" s="92"/>
      <c r="V67" s="92"/>
      <c r="W67" s="94"/>
      <c r="X67" s="68"/>
      <c r="Y67" s="99"/>
      <c r="Z67" s="100"/>
      <c r="AA67" s="82"/>
      <c r="AB67" s="72">
        <f t="shared" si="8"/>
        <v>0</v>
      </c>
      <c r="AC67" s="72">
        <f t="shared" si="9"/>
      </c>
    </row>
    <row r="68" spans="1:29" s="12" customFormat="1" ht="24" customHeight="1">
      <c r="A68" s="67"/>
      <c r="B68" s="120"/>
      <c r="C68" s="124"/>
      <c r="D68" s="123"/>
      <c r="E68" s="123"/>
      <c r="F68" s="123"/>
      <c r="G68" s="78"/>
      <c r="H68" s="116">
        <f>IF(B69="","",B69)</f>
      </c>
      <c r="I68" s="117">
        <f t="shared" si="6"/>
      </c>
      <c r="J68" s="91"/>
      <c r="K68" s="92"/>
      <c r="L68" s="92"/>
      <c r="M68" s="92"/>
      <c r="N68" s="92"/>
      <c r="O68" s="92"/>
      <c r="P68" s="92"/>
      <c r="Q68" s="92"/>
      <c r="R68" s="92">
        <f t="shared" si="7"/>
      </c>
      <c r="S68" s="92"/>
      <c r="T68" s="92"/>
      <c r="U68" s="92"/>
      <c r="V68" s="92"/>
      <c r="W68" s="94"/>
      <c r="X68" s="68"/>
      <c r="Y68" s="99"/>
      <c r="Z68" s="100"/>
      <c r="AA68" s="82"/>
      <c r="AB68" s="72">
        <f t="shared" si="8"/>
        <v>0</v>
      </c>
      <c r="AC68" s="72">
        <f t="shared" si="9"/>
      </c>
    </row>
    <row r="69" spans="1:29" s="12" customFormat="1" ht="24" customHeight="1">
      <c r="A69" s="67"/>
      <c r="B69" s="120"/>
      <c r="C69" s="124"/>
      <c r="D69" s="123"/>
      <c r="E69" s="123"/>
      <c r="F69" s="123"/>
      <c r="G69" s="78"/>
      <c r="H69" s="116">
        <f t="shared" si="5"/>
      </c>
      <c r="I69" s="117">
        <f t="shared" si="6"/>
      </c>
      <c r="J69" s="91"/>
      <c r="K69" s="92"/>
      <c r="L69" s="92"/>
      <c r="M69" s="92"/>
      <c r="N69" s="92"/>
      <c r="O69" s="92"/>
      <c r="P69" s="92"/>
      <c r="Q69" s="92"/>
      <c r="R69" s="92">
        <f t="shared" si="7"/>
      </c>
      <c r="S69" s="92"/>
      <c r="T69" s="92"/>
      <c r="U69" s="92"/>
      <c r="V69" s="92"/>
      <c r="W69" s="94"/>
      <c r="X69" s="68"/>
      <c r="Y69" s="99"/>
      <c r="Z69" s="100"/>
      <c r="AA69" s="82"/>
      <c r="AB69" s="72">
        <f>IF(V68=0,0,$E69)</f>
        <v>0</v>
      </c>
      <c r="AC69" s="72">
        <f>IF((V68*AB69)=0,"",V68*AB69)</f>
      </c>
    </row>
    <row r="70" spans="1:29" s="12" customFormat="1" ht="24" customHeight="1">
      <c r="A70" s="67"/>
      <c r="B70" s="120"/>
      <c r="C70" s="124"/>
      <c r="D70" s="123"/>
      <c r="E70" s="123"/>
      <c r="F70" s="123"/>
      <c r="G70" s="78"/>
      <c r="H70" s="116">
        <f t="shared" si="5"/>
      </c>
      <c r="I70" s="117">
        <f t="shared" si="6"/>
      </c>
      <c r="J70" s="91"/>
      <c r="K70" s="92"/>
      <c r="L70" s="92"/>
      <c r="M70" s="92"/>
      <c r="N70" s="92"/>
      <c r="O70" s="92"/>
      <c r="P70" s="92"/>
      <c r="Q70" s="92"/>
      <c r="R70" s="92">
        <f t="shared" si="7"/>
      </c>
      <c r="S70" s="92"/>
      <c r="T70" s="92"/>
      <c r="U70" s="92"/>
      <c r="V70" s="92"/>
      <c r="W70" s="94"/>
      <c r="X70" s="68"/>
      <c r="Y70" s="99"/>
      <c r="Z70" s="100"/>
      <c r="AA70" s="82"/>
      <c r="AB70" s="72">
        <f t="shared" si="8"/>
        <v>0</v>
      </c>
      <c r="AC70" s="72">
        <f t="shared" si="9"/>
      </c>
    </row>
    <row r="71" spans="1:29" s="12" customFormat="1" ht="24" customHeight="1">
      <c r="A71" s="67"/>
      <c r="B71" s="120"/>
      <c r="C71" s="120"/>
      <c r="D71" s="121"/>
      <c r="E71" s="121"/>
      <c r="F71" s="121"/>
      <c r="G71" s="78"/>
      <c r="H71" s="116">
        <f t="shared" si="5"/>
      </c>
      <c r="I71" s="117">
        <f t="shared" si="6"/>
      </c>
      <c r="J71" s="91"/>
      <c r="K71" s="92"/>
      <c r="L71" s="92"/>
      <c r="M71" s="92"/>
      <c r="N71" s="92"/>
      <c r="O71" s="92"/>
      <c r="P71" s="92"/>
      <c r="Q71" s="92"/>
      <c r="R71" s="92">
        <f t="shared" si="7"/>
      </c>
      <c r="S71" s="92"/>
      <c r="T71" s="92"/>
      <c r="U71" s="92"/>
      <c r="V71" s="92"/>
      <c r="W71" s="94"/>
      <c r="X71" s="68"/>
      <c r="Y71" s="99"/>
      <c r="Z71" s="100"/>
      <c r="AA71" s="82"/>
      <c r="AB71" s="72">
        <f t="shared" si="8"/>
        <v>0</v>
      </c>
      <c r="AC71" s="72">
        <f t="shared" si="9"/>
      </c>
    </row>
    <row r="72" spans="1:29" s="12" customFormat="1" ht="24" customHeight="1">
      <c r="A72" s="67"/>
      <c r="B72" s="120"/>
      <c r="C72" s="120"/>
      <c r="D72" s="121"/>
      <c r="E72" s="121"/>
      <c r="F72" s="121"/>
      <c r="G72" s="78"/>
      <c r="H72" s="93" t="s">
        <v>4</v>
      </c>
      <c r="I72" s="90"/>
      <c r="J72" s="91">
        <f>IF(SUM(J9:J71)=0,0,SUM(J9:J71))</f>
        <v>0</v>
      </c>
      <c r="K72" s="92"/>
      <c r="L72" s="565">
        <f>IF(SUM(L9:L71)=0,0,SUM(L9:L71))</f>
        <v>0</v>
      </c>
      <c r="M72" s="92"/>
      <c r="N72" s="92"/>
      <c r="O72" s="92"/>
      <c r="P72" s="92"/>
      <c r="Q72" s="92"/>
      <c r="R72" s="92"/>
      <c r="S72" s="92">
        <f>IF(SUM(S9:S71)=0,0,SUM(S9:S71))</f>
        <v>0</v>
      </c>
      <c r="T72" s="92"/>
      <c r="U72" s="565">
        <f>IF(SUM(U9:U71)=0,0,SUM(U9:U71))</f>
        <v>0</v>
      </c>
      <c r="V72" s="92">
        <f>IF(SUM(V9:V71)=0,0,SUM(V9:V71))</f>
        <v>0</v>
      </c>
      <c r="W72" s="94"/>
      <c r="X72" s="68"/>
      <c r="Y72" s="71"/>
      <c r="Z72" s="107"/>
      <c r="AA72" s="82"/>
      <c r="AB72" s="72">
        <f t="shared" si="8"/>
        <v>0</v>
      </c>
      <c r="AC72" s="72">
        <f t="shared" si="9"/>
      </c>
    </row>
    <row r="73" spans="1:29" s="12" customFormat="1" ht="24" customHeight="1" thickBot="1">
      <c r="A73" s="67"/>
      <c r="B73" s="72"/>
      <c r="C73" s="72"/>
      <c r="D73" s="72"/>
      <c r="E73" s="72"/>
      <c r="F73" s="72"/>
      <c r="G73" s="72"/>
      <c r="H73" s="95"/>
      <c r="I73" s="96"/>
      <c r="J73" s="1786" t="s">
        <v>508</v>
      </c>
      <c r="K73" s="1779"/>
      <c r="L73" s="1300">
        <f>IF(ISERROR(ROUND(L72/J72,0))=TRUE,"",ROUND(L72/J72,0))</f>
      </c>
      <c r="M73" s="1778">
        <f>IF(O73=0,"","ﾌﾞﾙﾄﾞｰｻﾞ  L=")</f>
      </c>
      <c r="N73" s="1779"/>
      <c r="O73" s="108"/>
      <c r="P73" s="1778">
        <f>IF(R73=0,"",IF(P72&lt;10000," ﾌﾞﾙﾄﾞｰｻﾞ  L=","ｽｸﾚｰﾌﾟﾄﾞｰｻﾞL="))</f>
      </c>
      <c r="Q73" s="1779"/>
      <c r="R73" s="108"/>
      <c r="S73" s="1778"/>
      <c r="T73" s="1779"/>
      <c r="U73" s="1300">
        <f>IF(ISERROR(ROUND(U72/S72,0))=TRUE,"",ROUND(U72/S72,0))</f>
      </c>
      <c r="V73" s="108"/>
      <c r="W73" s="109"/>
      <c r="X73" s="76"/>
      <c r="Y73" s="76"/>
      <c r="Z73" s="110"/>
      <c r="AA73" s="82"/>
      <c r="AB73" s="72">
        <f>IF(V72*AC73=0,0,AC73/V72)</f>
        <v>0</v>
      </c>
      <c r="AC73" s="72">
        <f>IF(SUM(AC9:AC72)=0,0,SUM(AC9:AC72))</f>
        <v>0</v>
      </c>
    </row>
    <row r="74" spans="1:29" s="12" customFormat="1" ht="24" customHeight="1">
      <c r="A74" s="67"/>
      <c r="B74" s="72"/>
      <c r="C74" s="72"/>
      <c r="D74" s="72"/>
      <c r="E74" s="72" t="s">
        <v>509</v>
      </c>
      <c r="F74" s="72"/>
      <c r="G74" s="72"/>
      <c r="H74" s="80"/>
      <c r="I74" s="81"/>
      <c r="J74" s="111" t="s">
        <v>19</v>
      </c>
      <c r="K74" s="112" t="s">
        <v>14</v>
      </c>
      <c r="L74" s="78"/>
      <c r="M74" s="112" t="s">
        <v>19</v>
      </c>
      <c r="N74" s="112" t="s">
        <v>14</v>
      </c>
      <c r="O74" s="78"/>
      <c r="P74" s="112" t="s">
        <v>19</v>
      </c>
      <c r="Q74" s="112" t="s">
        <v>14</v>
      </c>
      <c r="R74" s="78"/>
      <c r="S74" s="112" t="s">
        <v>19</v>
      </c>
      <c r="T74" s="112" t="s">
        <v>14</v>
      </c>
      <c r="U74" s="78"/>
      <c r="V74" s="112" t="s">
        <v>13</v>
      </c>
      <c r="W74" s="1789" t="s">
        <v>510</v>
      </c>
      <c r="X74" s="1790"/>
      <c r="Y74" s="1790"/>
      <c r="Z74" s="1791"/>
      <c r="AA74" s="82"/>
      <c r="AB74" s="72"/>
      <c r="AC74" s="72"/>
    </row>
    <row r="75" spans="1:29" s="12" customFormat="1" ht="24" customHeight="1">
      <c r="A75" s="67"/>
      <c r="B75" s="72"/>
      <c r="C75" s="72"/>
      <c r="D75" s="72"/>
      <c r="E75" s="72"/>
      <c r="F75" s="72"/>
      <c r="G75" s="72"/>
      <c r="H75" s="85" t="s">
        <v>511</v>
      </c>
      <c r="I75" s="86" t="s">
        <v>512</v>
      </c>
      <c r="J75" s="93" t="s">
        <v>16</v>
      </c>
      <c r="K75" s="79" t="s">
        <v>17</v>
      </c>
      <c r="L75" s="79" t="s">
        <v>18</v>
      </c>
      <c r="M75" s="79" t="s">
        <v>16</v>
      </c>
      <c r="N75" s="79" t="s">
        <v>17</v>
      </c>
      <c r="O75" s="79" t="s">
        <v>18</v>
      </c>
      <c r="P75" s="79" t="s">
        <v>16</v>
      </c>
      <c r="Q75" s="79" t="s">
        <v>17</v>
      </c>
      <c r="R75" s="79" t="s">
        <v>18</v>
      </c>
      <c r="S75" s="79" t="s">
        <v>16</v>
      </c>
      <c r="T75" s="79" t="s">
        <v>17</v>
      </c>
      <c r="U75" s="79" t="s">
        <v>18</v>
      </c>
      <c r="V75" s="78"/>
      <c r="W75" s="1792"/>
      <c r="X75" s="1793"/>
      <c r="Y75" s="1793"/>
      <c r="Z75" s="1794"/>
      <c r="AA75" s="82"/>
      <c r="AB75" s="72"/>
      <c r="AC75" s="72"/>
    </row>
    <row r="76" spans="1:29" s="12" customFormat="1" ht="24" customHeight="1">
      <c r="A76" s="67"/>
      <c r="B76" s="72"/>
      <c r="C76" s="72"/>
      <c r="D76" s="72"/>
      <c r="E76" s="72"/>
      <c r="F76" s="72"/>
      <c r="G76" s="72"/>
      <c r="H76" s="85" t="s">
        <v>513</v>
      </c>
      <c r="I76" s="86" t="s">
        <v>514</v>
      </c>
      <c r="J76" s="1806" t="s">
        <v>500</v>
      </c>
      <c r="K76" s="1796"/>
      <c r="L76" s="1796"/>
      <c r="M76" s="1805" t="s">
        <v>501</v>
      </c>
      <c r="N76" s="1796"/>
      <c r="O76" s="1796"/>
      <c r="P76" s="1805" t="s">
        <v>502</v>
      </c>
      <c r="Q76" s="1796"/>
      <c r="R76" s="1796"/>
      <c r="S76" s="1805" t="s">
        <v>503</v>
      </c>
      <c r="T76" s="1796"/>
      <c r="U76" s="1796"/>
      <c r="V76" s="114" t="s">
        <v>449</v>
      </c>
      <c r="W76" s="1792"/>
      <c r="X76" s="1793"/>
      <c r="Y76" s="1793"/>
      <c r="Z76" s="1794"/>
      <c r="AA76" s="82"/>
      <c r="AB76" s="72"/>
      <c r="AC76" s="72"/>
    </row>
    <row r="77" spans="1:29" s="12" customFormat="1" ht="24" customHeight="1" thickBot="1">
      <c r="A77" s="67"/>
      <c r="B77" s="72"/>
      <c r="C77" s="72"/>
      <c r="D77" s="72"/>
      <c r="E77" s="72"/>
      <c r="F77" s="72"/>
      <c r="G77" s="72"/>
      <c r="H77" s="95"/>
      <c r="I77" s="96"/>
      <c r="J77" s="1802" t="s">
        <v>494</v>
      </c>
      <c r="K77" s="1803"/>
      <c r="L77" s="1804"/>
      <c r="M77" s="1800" t="s">
        <v>495</v>
      </c>
      <c r="N77" s="1800"/>
      <c r="O77" s="1800"/>
      <c r="P77" s="1803"/>
      <c r="Q77" s="1803"/>
      <c r="R77" s="1803"/>
      <c r="S77" s="1800"/>
      <c r="T77" s="1800"/>
      <c r="U77" s="1800"/>
      <c r="V77" s="97"/>
      <c r="W77" s="1799"/>
      <c r="X77" s="1800"/>
      <c r="Y77" s="1800"/>
      <c r="Z77" s="1801"/>
      <c r="AA77" s="82"/>
      <c r="AB77" s="72"/>
      <c r="AC77" s="72"/>
    </row>
    <row r="78" spans="1:29" s="12" customFormat="1" ht="24" customHeight="1">
      <c r="A78" s="67"/>
      <c r="B78" s="72"/>
      <c r="C78" s="72"/>
      <c r="D78" s="72"/>
      <c r="E78" s="72"/>
      <c r="F78" s="72"/>
      <c r="G78" s="72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82"/>
      <c r="AB78" s="72"/>
      <c r="AC78" s="72"/>
    </row>
    <row r="79" spans="1:29" ht="13.5">
      <c r="A79" s="98"/>
      <c r="B79" s="9"/>
      <c r="C79" s="9"/>
      <c r="D79" s="9"/>
      <c r="E79" s="9"/>
      <c r="F79" s="9"/>
      <c r="G79" s="9"/>
      <c r="AA79" s="9"/>
      <c r="AB79" s="9"/>
      <c r="AC79" s="9"/>
    </row>
  </sheetData>
  <sheetProtection/>
  <mergeCells count="20">
    <mergeCell ref="W5:Z8"/>
    <mergeCell ref="B2:G3"/>
    <mergeCell ref="W74:Z77"/>
    <mergeCell ref="J77:L77"/>
    <mergeCell ref="M77:U77"/>
    <mergeCell ref="M76:O76"/>
    <mergeCell ref="P76:R76"/>
    <mergeCell ref="S76:U76"/>
    <mergeCell ref="J76:L76"/>
    <mergeCell ref="I2:X2"/>
    <mergeCell ref="S73:T73"/>
    <mergeCell ref="M5:U5"/>
    <mergeCell ref="S6:U6"/>
    <mergeCell ref="J73:K73"/>
    <mergeCell ref="M73:N73"/>
    <mergeCell ref="P73:Q73"/>
    <mergeCell ref="M6:O6"/>
    <mergeCell ref="P6:R6"/>
    <mergeCell ref="J5:L5"/>
    <mergeCell ref="J6:L6"/>
  </mergeCells>
  <printOptions horizontalCentered="1" verticalCentered="1"/>
  <pageMargins left="0.7874015748031497" right="0" top="0.3937007874015748" bottom="0.1968503937007874" header="0" footer="0"/>
  <pageSetup horizontalDpi="300" verticalDpi="300" orientation="portrait" paperSize="9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2:AC77"/>
  <sheetViews>
    <sheetView view="pageBreakPreview" zoomScale="60" zoomScaleNormal="75" zoomScalePageLayoutView="0" workbookViewId="0" topLeftCell="A53">
      <selection activeCell="J66" sqref="J66"/>
    </sheetView>
  </sheetViews>
  <sheetFormatPr defaultColWidth="10.625" defaultRowHeight="13.5"/>
  <cols>
    <col min="1" max="1" width="2.625" style="62" customWidth="1"/>
    <col min="2" max="2" width="31.75390625" style="62" bestFit="1" customWidth="1"/>
    <col min="3" max="3" width="21.375" style="62" bestFit="1" customWidth="1"/>
    <col min="4" max="4" width="10.625" style="62" customWidth="1"/>
    <col min="5" max="5" width="8.625" style="62" customWidth="1"/>
    <col min="6" max="6" width="12.875" style="62" bestFit="1" customWidth="1"/>
    <col min="7" max="7" width="3.625" style="62" customWidth="1"/>
    <col min="8" max="8" width="28.25390625" style="62" bestFit="1" customWidth="1"/>
    <col min="9" max="9" width="19.875" style="62" bestFit="1" customWidth="1"/>
    <col min="10" max="10" width="11.625" style="62" customWidth="1"/>
    <col min="11" max="11" width="9.625" style="62" customWidth="1"/>
    <col min="12" max="12" width="13.625" style="62" customWidth="1"/>
    <col min="13" max="13" width="11.625" style="62" customWidth="1"/>
    <col min="14" max="14" width="9.625" style="62" customWidth="1"/>
    <col min="15" max="15" width="13.625" style="62" customWidth="1"/>
    <col min="16" max="16" width="11.625" style="62" customWidth="1"/>
    <col min="17" max="17" width="9.625" style="62" customWidth="1"/>
    <col min="18" max="18" width="13.625" style="62" customWidth="1"/>
    <col min="19" max="19" width="11.625" style="62" customWidth="1"/>
    <col min="20" max="20" width="9.625" style="62" customWidth="1"/>
    <col min="21" max="21" width="13.625" style="62" customWidth="1"/>
    <col min="22" max="22" width="10.50390625" style="62" bestFit="1" customWidth="1"/>
    <col min="23" max="23" width="4.625" style="62" customWidth="1"/>
    <col min="24" max="24" width="6.625" style="62" customWidth="1"/>
    <col min="25" max="25" width="5.625" style="62" customWidth="1"/>
    <col min="26" max="26" width="6.625" style="62" customWidth="1"/>
    <col min="27" max="27" width="2.625" style="62" customWidth="1"/>
    <col min="28" max="28" width="11.125" style="62" customWidth="1"/>
    <col min="29" max="29" width="13.125" style="62" customWidth="1"/>
    <col min="30" max="16384" width="10.625" style="62" customWidth="1"/>
  </cols>
  <sheetData>
    <row r="2" spans="1:29" s="66" customFormat="1" ht="45" customHeight="1">
      <c r="A2" s="63"/>
      <c r="B2" s="1798" t="s">
        <v>342</v>
      </c>
      <c r="C2" s="1798"/>
      <c r="D2" s="1798"/>
      <c r="E2" s="1798"/>
      <c r="F2" s="1798"/>
      <c r="G2" s="1798"/>
      <c r="H2" s="64"/>
      <c r="I2" s="1807" t="s">
        <v>111</v>
      </c>
      <c r="J2" s="1807"/>
      <c r="K2" s="1807"/>
      <c r="L2" s="1807"/>
      <c r="M2" s="1807"/>
      <c r="N2" s="1807"/>
      <c r="O2" s="1807"/>
      <c r="P2" s="1807"/>
      <c r="Q2" s="1807"/>
      <c r="R2" s="1807"/>
      <c r="S2" s="1807"/>
      <c r="T2" s="1807"/>
      <c r="U2" s="1807"/>
      <c r="V2" s="1807"/>
      <c r="W2" s="1807"/>
      <c r="X2" s="1807"/>
      <c r="Y2" s="64"/>
      <c r="Z2" s="64"/>
      <c r="AA2" s="64"/>
      <c r="AB2" s="64"/>
      <c r="AC2" s="64"/>
    </row>
    <row r="3" spans="1:29" s="66" customFormat="1" ht="24" customHeight="1">
      <c r="A3" s="63"/>
      <c r="B3" s="1798"/>
      <c r="C3" s="1798"/>
      <c r="D3" s="1798"/>
      <c r="E3" s="1798"/>
      <c r="F3" s="1798"/>
      <c r="G3" s="1798"/>
      <c r="H3" s="64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4"/>
      <c r="Z3" s="64"/>
      <c r="AA3" s="64"/>
      <c r="AB3" s="64"/>
      <c r="AC3" s="64"/>
    </row>
    <row r="4" spans="1:29" s="12" customFormat="1" ht="24" customHeight="1" thickBot="1">
      <c r="A4" s="67"/>
      <c r="B4" s="68" t="s">
        <v>119</v>
      </c>
      <c r="C4" s="69"/>
      <c r="D4" s="70"/>
      <c r="E4" s="69"/>
      <c r="F4" s="71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1808" t="str">
        <f>+'表紙１'!G5</f>
        <v>多比良</v>
      </c>
      <c r="T4" s="1808"/>
      <c r="U4" s="75" t="s">
        <v>109</v>
      </c>
      <c r="V4" s="76" t="s">
        <v>5</v>
      </c>
      <c r="W4" s="74" t="str">
        <f>+'表紙１'!D7</f>
        <v>1</v>
      </c>
      <c r="X4" s="77" t="s">
        <v>107</v>
      </c>
      <c r="Y4" s="74" t="str">
        <f>+'表紙１'!F7</f>
        <v>－</v>
      </c>
      <c r="Z4" s="77" t="s">
        <v>108</v>
      </c>
      <c r="AA4" s="72"/>
      <c r="AB4" s="72"/>
      <c r="AC4" s="72"/>
    </row>
    <row r="5" spans="1:29" s="12" customFormat="1" ht="24" customHeight="1">
      <c r="A5" s="67"/>
      <c r="B5" s="78"/>
      <c r="C5" s="78"/>
      <c r="D5" s="78"/>
      <c r="E5" s="78"/>
      <c r="F5" s="79" t="s">
        <v>6</v>
      </c>
      <c r="G5" s="78"/>
      <c r="H5" s="80"/>
      <c r="I5" s="81"/>
      <c r="J5" s="1787" t="s">
        <v>116</v>
      </c>
      <c r="K5" s="1781"/>
      <c r="L5" s="1781"/>
      <c r="M5" s="1781"/>
      <c r="N5" s="1781"/>
      <c r="O5" s="1781"/>
      <c r="P5" s="1781"/>
      <c r="Q5" s="1781"/>
      <c r="R5" s="1782"/>
      <c r="S5" s="1780" t="s">
        <v>117</v>
      </c>
      <c r="T5" s="1781"/>
      <c r="U5" s="1782"/>
      <c r="V5" s="78"/>
      <c r="W5" s="1789" t="s">
        <v>110</v>
      </c>
      <c r="X5" s="1790"/>
      <c r="Y5" s="1790"/>
      <c r="Z5" s="1791"/>
      <c r="AA5" s="82"/>
      <c r="AB5" s="72"/>
      <c r="AC5" s="72"/>
    </row>
    <row r="6" spans="1:29" s="12" customFormat="1" ht="24" customHeight="1">
      <c r="A6" s="67"/>
      <c r="B6" s="83" t="s">
        <v>7</v>
      </c>
      <c r="C6" s="83" t="s">
        <v>8</v>
      </c>
      <c r="D6" s="83" t="s">
        <v>9</v>
      </c>
      <c r="E6" s="83" t="s">
        <v>10</v>
      </c>
      <c r="F6" s="84" t="s">
        <v>11</v>
      </c>
      <c r="G6" s="78"/>
      <c r="H6" s="85" t="s">
        <v>112</v>
      </c>
      <c r="I6" s="86" t="s">
        <v>114</v>
      </c>
      <c r="J6" s="1788" t="s">
        <v>121</v>
      </c>
      <c r="K6" s="1784"/>
      <c r="L6" s="1785"/>
      <c r="M6" s="1783" t="s">
        <v>122</v>
      </c>
      <c r="N6" s="1784"/>
      <c r="O6" s="1785"/>
      <c r="P6" s="1783" t="s">
        <v>123</v>
      </c>
      <c r="Q6" s="1784"/>
      <c r="R6" s="1785"/>
      <c r="S6" s="1783" t="s">
        <v>118</v>
      </c>
      <c r="T6" s="1784"/>
      <c r="U6" s="1785"/>
      <c r="V6" s="114" t="s">
        <v>449</v>
      </c>
      <c r="W6" s="1792"/>
      <c r="X6" s="1793"/>
      <c r="Y6" s="1793"/>
      <c r="Z6" s="1794"/>
      <c r="AA6" s="82"/>
      <c r="AB6" s="72"/>
      <c r="AC6" s="72"/>
    </row>
    <row r="7" spans="1:29" s="12" customFormat="1" ht="24" customHeight="1">
      <c r="A7" s="67"/>
      <c r="B7" s="83" t="s">
        <v>12</v>
      </c>
      <c r="C7" s="83" t="s">
        <v>6</v>
      </c>
      <c r="D7" s="83" t="s">
        <v>13</v>
      </c>
      <c r="E7" s="83" t="s">
        <v>14</v>
      </c>
      <c r="F7" s="84" t="s">
        <v>15</v>
      </c>
      <c r="G7" s="78"/>
      <c r="H7" s="85" t="s">
        <v>113</v>
      </c>
      <c r="I7" s="86" t="s">
        <v>115</v>
      </c>
      <c r="J7" s="87" t="s">
        <v>16</v>
      </c>
      <c r="K7" s="83" t="s">
        <v>17</v>
      </c>
      <c r="L7" s="83" t="s">
        <v>18</v>
      </c>
      <c r="M7" s="83" t="s">
        <v>16</v>
      </c>
      <c r="N7" s="83" t="s">
        <v>17</v>
      </c>
      <c r="O7" s="83" t="s">
        <v>18</v>
      </c>
      <c r="P7" s="83" t="s">
        <v>16</v>
      </c>
      <c r="Q7" s="83" t="s">
        <v>17</v>
      </c>
      <c r="R7" s="83" t="s">
        <v>18</v>
      </c>
      <c r="S7" s="83" t="s">
        <v>16</v>
      </c>
      <c r="T7" s="83" t="s">
        <v>17</v>
      </c>
      <c r="U7" s="83" t="s">
        <v>18</v>
      </c>
      <c r="V7" s="78"/>
      <c r="W7" s="1792"/>
      <c r="X7" s="1793"/>
      <c r="Y7" s="1793"/>
      <c r="Z7" s="1794"/>
      <c r="AA7" s="82"/>
      <c r="AB7" s="72"/>
      <c r="AC7" s="72"/>
    </row>
    <row r="8" spans="1:29" s="12" customFormat="1" ht="24" customHeight="1">
      <c r="A8" s="67"/>
      <c r="B8" s="88"/>
      <c r="C8" s="88"/>
      <c r="D8" s="88"/>
      <c r="E8" s="88"/>
      <c r="F8" s="113" t="s">
        <v>120</v>
      </c>
      <c r="G8" s="78"/>
      <c r="H8" s="89"/>
      <c r="I8" s="90"/>
      <c r="J8" s="91" t="s">
        <v>19</v>
      </c>
      <c r="K8" s="92" t="s">
        <v>14</v>
      </c>
      <c r="L8" s="88"/>
      <c r="M8" s="92" t="s">
        <v>19</v>
      </c>
      <c r="N8" s="92" t="s">
        <v>14</v>
      </c>
      <c r="O8" s="88"/>
      <c r="P8" s="92" t="s">
        <v>19</v>
      </c>
      <c r="Q8" s="92" t="s">
        <v>14</v>
      </c>
      <c r="R8" s="88"/>
      <c r="S8" s="92" t="s">
        <v>19</v>
      </c>
      <c r="T8" s="92" t="s">
        <v>14</v>
      </c>
      <c r="U8" s="88"/>
      <c r="V8" s="92" t="s">
        <v>13</v>
      </c>
      <c r="W8" s="1795"/>
      <c r="X8" s="1796"/>
      <c r="Y8" s="1796"/>
      <c r="Z8" s="1797"/>
      <c r="AA8" s="82"/>
      <c r="AB8" s="72"/>
      <c r="AC8" s="72"/>
    </row>
    <row r="9" spans="1:29" s="12" customFormat="1" ht="24" customHeight="1">
      <c r="A9" s="67"/>
      <c r="B9" s="122" t="s">
        <v>654</v>
      </c>
      <c r="C9" s="216" t="s">
        <v>672</v>
      </c>
      <c r="D9" s="121">
        <v>212</v>
      </c>
      <c r="E9" s="125">
        <v>20</v>
      </c>
      <c r="F9" s="125">
        <v>1</v>
      </c>
      <c r="G9" s="78"/>
      <c r="H9" s="116" t="str">
        <f>IF(B9="","",B9)</f>
        <v>④C1</v>
      </c>
      <c r="I9" s="117" t="str">
        <f>IF(C9="","",C9)</f>
        <v>④B1</v>
      </c>
      <c r="J9" s="1348">
        <f>IF(AND(($F9=1),($E9&lt;40)),$D9,"")</f>
        <v>212</v>
      </c>
      <c r="K9" s="1349">
        <f>IF(J9=0,"",$E9)</f>
        <v>20</v>
      </c>
      <c r="L9" s="1349">
        <f>IF((J9*K9)=0,"",J9*K9)</f>
        <v>4240</v>
      </c>
      <c r="M9" s="1349">
        <f aca="true" t="shared" si="0" ref="M9:M21">IF(AND(($F9=1),(AND($E9&gt;=40,$E9&lt;=60))),$D9,"")</f>
      </c>
      <c r="N9" s="1349">
        <f>IF(M9=0,"",$E9)</f>
      </c>
      <c r="O9" s="1349">
        <f>IF((M9*N9)=0,"",M9*N9)</f>
      </c>
      <c r="P9" s="92">
        <f aca="true" t="shared" si="1" ref="P9:P54">IF(AND(($F9=1),(AND($E9&gt;60,$E9&lt;1000))),$D9,"")</f>
      </c>
      <c r="Q9" s="1349">
        <f>IF(P9=0,"",$E9)</f>
      </c>
      <c r="R9" s="1349">
        <f>IF((P9*Q9)=0,"",P9*Q9)</f>
      </c>
      <c r="S9" s="1349">
        <f aca="true" t="shared" si="2" ref="S9:S21">IF((AND($F9=2,($E9&gt;60))),$D9,"")</f>
      </c>
      <c r="T9" s="1349">
        <f>IF(S9=0,"",$E9)</f>
      </c>
      <c r="U9" s="1349">
        <f>IF((S9*T9)=0,"",S9*T9)</f>
      </c>
      <c r="V9" s="1349">
        <f>IF(($F9=3),$D9,"")</f>
      </c>
      <c r="W9" s="94"/>
      <c r="X9" s="68"/>
      <c r="Y9" s="99"/>
      <c r="Z9" s="100"/>
      <c r="AA9" s="82"/>
      <c r="AB9" s="72">
        <f>IF(V9=0,"",$E9)</f>
      </c>
      <c r="AC9" s="72">
        <f>IF((V9*AB9)=0,"",V9*AB9)</f>
      </c>
    </row>
    <row r="10" spans="1:29" s="12" customFormat="1" ht="24" customHeight="1">
      <c r="A10" s="67"/>
      <c r="B10" s="120" t="s">
        <v>654</v>
      </c>
      <c r="C10" s="216" t="s">
        <v>676</v>
      </c>
      <c r="D10" s="121">
        <v>327</v>
      </c>
      <c r="E10" s="125">
        <v>80</v>
      </c>
      <c r="F10" s="125">
        <v>1</v>
      </c>
      <c r="G10" s="78"/>
      <c r="H10" s="116" t="str">
        <f>IF(B10="","",B10)</f>
        <v>④C1</v>
      </c>
      <c r="I10" s="117" t="str">
        <f>IF(C10="","",C10)</f>
        <v>③-3B1</v>
      </c>
      <c r="J10" s="1348">
        <f aca="true" t="shared" si="3" ref="J10:J21">IF(AND(($F10=1),($E10&lt;40)),$D10,"")</f>
      </c>
      <c r="K10" s="1349">
        <f>IF(J10=0,"",$E10)</f>
      </c>
      <c r="L10" s="1349">
        <f>IF((J10*K10)=0,"",J10*K10)</f>
      </c>
      <c r="M10" s="1349">
        <f t="shared" si="0"/>
      </c>
      <c r="N10" s="1349">
        <f>IF(M10=0,"",$E10)</f>
      </c>
      <c r="O10" s="1349">
        <f>IF((M10*N10)=0,"",M10*N10)</f>
      </c>
      <c r="P10" s="92">
        <f t="shared" si="1"/>
        <v>327</v>
      </c>
      <c r="Q10" s="1349">
        <f>IF(P10=0,"",$E10)</f>
        <v>80</v>
      </c>
      <c r="R10" s="1349">
        <f>IF((P10*Q10)=0,"",P10*Q10)</f>
        <v>26160</v>
      </c>
      <c r="S10" s="1349">
        <f t="shared" si="2"/>
      </c>
      <c r="T10" s="1349">
        <f>IF(S10=0,"",$E10)</f>
      </c>
      <c r="U10" s="1349">
        <f>IF((S10*T10)=0,"",S10*T10)</f>
      </c>
      <c r="V10" s="1349">
        <f>IF(($F10=3),$D10,"")</f>
      </c>
      <c r="W10" s="94"/>
      <c r="X10" s="68"/>
      <c r="Y10" s="99"/>
      <c r="Z10" s="100"/>
      <c r="AA10" s="82"/>
      <c r="AB10" s="72">
        <f aca="true" t="shared" si="4" ref="AB10:AB70">IF(V10=0,"",$E10)</f>
      </c>
      <c r="AC10" s="72">
        <f aca="true" t="shared" si="5" ref="AC10:AC70">IF((V10*AB10)=0,"",V10*AB10)</f>
      </c>
    </row>
    <row r="11" spans="1:29" s="12" customFormat="1" ht="24" customHeight="1">
      <c r="A11" s="67"/>
      <c r="B11" s="120" t="s">
        <v>655</v>
      </c>
      <c r="C11" s="216" t="s">
        <v>673</v>
      </c>
      <c r="D11" s="121">
        <v>553</v>
      </c>
      <c r="E11" s="126">
        <v>40</v>
      </c>
      <c r="F11" s="125">
        <v>1</v>
      </c>
      <c r="G11" s="78"/>
      <c r="H11" s="116" t="str">
        <f aca="true" t="shared" si="6" ref="H11:H70">IF(B11="","",B11)</f>
        <v>②-2C1</v>
      </c>
      <c r="I11" s="117" t="str">
        <f>IF(C11="","",C11)</f>
        <v>②-2B1</v>
      </c>
      <c r="J11" s="1348">
        <f t="shared" si="3"/>
      </c>
      <c r="K11" s="1349">
        <f>IF(J11=0,"",$E11)</f>
      </c>
      <c r="L11" s="1349">
        <f>IF((J11*K11)=0,"",J11*K11)</f>
      </c>
      <c r="M11" s="1349">
        <f t="shared" si="0"/>
        <v>553</v>
      </c>
      <c r="N11" s="1349">
        <f>IF(M11=0,"",$E11)</f>
        <v>40</v>
      </c>
      <c r="O11" s="1349">
        <f>IF((M11*N11)=0,"",M11*N11)</f>
        <v>22120</v>
      </c>
      <c r="P11" s="92">
        <f t="shared" si="1"/>
      </c>
      <c r="Q11" s="1349">
        <f>IF(P11=0,"",$E11)</f>
      </c>
      <c r="R11" s="1349">
        <f>IF((P11*Q11)=0,"",P11*Q11)</f>
      </c>
      <c r="S11" s="1349">
        <f t="shared" si="2"/>
      </c>
      <c r="T11" s="1349">
        <f>IF(S11=0,"",$E11)</f>
      </c>
      <c r="U11" s="1349">
        <f>IF((S11*T11)=0,"",S11*T11)</f>
      </c>
      <c r="V11" s="1349">
        <f aca="true" t="shared" si="7" ref="V11:V21">IF(($F11=3),$D11,"")</f>
      </c>
      <c r="W11" s="94"/>
      <c r="X11" s="68"/>
      <c r="Y11" s="99"/>
      <c r="Z11" s="100"/>
      <c r="AA11" s="82"/>
      <c r="AB11" s="72">
        <f t="shared" si="4"/>
      </c>
      <c r="AC11" s="72">
        <f t="shared" si="5"/>
      </c>
    </row>
    <row r="12" spans="1:29" s="12" customFormat="1" ht="24" customHeight="1">
      <c r="A12" s="67"/>
      <c r="B12" s="120" t="s">
        <v>655</v>
      </c>
      <c r="C12" s="216" t="s">
        <v>674</v>
      </c>
      <c r="D12" s="121">
        <v>26</v>
      </c>
      <c r="E12" s="126">
        <v>80</v>
      </c>
      <c r="F12" s="125">
        <v>1</v>
      </c>
      <c r="G12" s="78"/>
      <c r="H12" s="116" t="str">
        <f t="shared" si="6"/>
        <v>②-2C1</v>
      </c>
      <c r="I12" s="117" t="str">
        <f>IF(C12="","",C12)</f>
        <v>支道13B2</v>
      </c>
      <c r="J12" s="1348">
        <f t="shared" si="3"/>
      </c>
      <c r="K12" s="1349">
        <f>IF(J12=0,"",$E12)</f>
      </c>
      <c r="L12" s="1349">
        <f>IF((J12*K12)=0,"",J12*K12)</f>
      </c>
      <c r="M12" s="1349">
        <f t="shared" si="0"/>
      </c>
      <c r="N12" s="1349">
        <f>IF(M12=0,"",$E12)</f>
      </c>
      <c r="O12" s="1349">
        <f>IF((M12*N12)=0,"",M12*N12)</f>
      </c>
      <c r="P12" s="92">
        <f t="shared" si="1"/>
        <v>26</v>
      </c>
      <c r="Q12" s="1349">
        <f>IF(P12=0,"",$E12)</f>
        <v>80</v>
      </c>
      <c r="R12" s="1349">
        <f>IF((P12*Q12)=0,"",P12*Q12)</f>
        <v>2080</v>
      </c>
      <c r="S12" s="1349">
        <f t="shared" si="2"/>
      </c>
      <c r="T12" s="1349">
        <f>IF(S12=0,"",$E12)</f>
      </c>
      <c r="U12" s="1349">
        <f>IF((S12*T12)=0,"",S12*T12)</f>
      </c>
      <c r="V12" s="1349">
        <f t="shared" si="7"/>
      </c>
      <c r="W12" s="94"/>
      <c r="X12" s="68"/>
      <c r="Y12" s="99"/>
      <c r="Z12" s="100"/>
      <c r="AA12" s="82"/>
      <c r="AB12" s="72">
        <f t="shared" si="4"/>
      </c>
      <c r="AC12" s="72">
        <f t="shared" si="5"/>
      </c>
    </row>
    <row r="13" spans="1:29" s="12" customFormat="1" ht="24" customHeight="1">
      <c r="A13" s="67"/>
      <c r="B13" s="216" t="s">
        <v>656</v>
      </c>
      <c r="C13" s="216" t="s">
        <v>673</v>
      </c>
      <c r="D13" s="125">
        <v>244</v>
      </c>
      <c r="E13" s="125">
        <v>50</v>
      </c>
      <c r="F13" s="125">
        <v>1</v>
      </c>
      <c r="G13" s="78"/>
      <c r="H13" s="116" t="str">
        <f t="shared" si="6"/>
        <v>③-1C1</v>
      </c>
      <c r="I13" s="117" t="str">
        <f aca="true" t="shared" si="8" ref="I13:I70">IF(C13="","",C13)</f>
        <v>②-2B1</v>
      </c>
      <c r="J13" s="1348">
        <f t="shared" si="3"/>
      </c>
      <c r="K13" s="1349">
        <f aca="true" t="shared" si="9" ref="K13:K20">IF(J13=0,"",$E13)</f>
      </c>
      <c r="L13" s="1349">
        <f aca="true" t="shared" si="10" ref="L13:L20">IF((J13*K13)=0,"",J13*K13)</f>
      </c>
      <c r="M13" s="1349">
        <f t="shared" si="0"/>
        <v>244</v>
      </c>
      <c r="N13" s="1349">
        <f aca="true" t="shared" si="11" ref="N13:N20">IF(M13=0,"",$E13)</f>
        <v>50</v>
      </c>
      <c r="O13" s="1349">
        <f aca="true" t="shared" si="12" ref="O13:O20">IF((M13*N13)=0,"",M13*N13)</f>
        <v>12200</v>
      </c>
      <c r="P13" s="92">
        <f t="shared" si="1"/>
      </c>
      <c r="Q13" s="1349">
        <f aca="true" t="shared" si="13" ref="Q13:Q20">IF(P13=0,"",$E13)</f>
      </c>
      <c r="R13" s="1349">
        <f aca="true" t="shared" si="14" ref="R13:R20">IF((P13*Q13)=0,"",P13*Q13)</f>
      </c>
      <c r="S13" s="1349">
        <f t="shared" si="2"/>
      </c>
      <c r="T13" s="1349">
        <f aca="true" t="shared" si="15" ref="T13:T20">IF(S13=0,"",$E13)</f>
      </c>
      <c r="U13" s="1349">
        <f aca="true" t="shared" si="16" ref="U13:U20">IF((S13*T13)=0,"",S13*T13)</f>
      </c>
      <c r="V13" s="1349">
        <f t="shared" si="7"/>
      </c>
      <c r="W13" s="94"/>
      <c r="X13" s="68"/>
      <c r="Y13" s="99"/>
      <c r="Z13" s="100"/>
      <c r="AA13" s="82"/>
      <c r="AB13" s="72">
        <f t="shared" si="4"/>
      </c>
      <c r="AC13" s="72">
        <f t="shared" si="5"/>
      </c>
    </row>
    <row r="14" spans="1:29" s="12" customFormat="1" ht="24" customHeight="1">
      <c r="A14" s="67"/>
      <c r="B14" s="216" t="s">
        <v>763</v>
      </c>
      <c r="C14" s="216" t="s">
        <v>676</v>
      </c>
      <c r="D14" s="125">
        <v>44</v>
      </c>
      <c r="E14" s="125">
        <v>20</v>
      </c>
      <c r="F14" s="125">
        <v>1</v>
      </c>
      <c r="G14" s="78"/>
      <c r="H14" s="116" t="str">
        <f t="shared" si="6"/>
        <v>③-3C1</v>
      </c>
      <c r="I14" s="117" t="str">
        <f t="shared" si="8"/>
        <v>③-3B1</v>
      </c>
      <c r="J14" s="1348">
        <f t="shared" si="3"/>
        <v>44</v>
      </c>
      <c r="K14" s="1349">
        <f t="shared" si="9"/>
        <v>20</v>
      </c>
      <c r="L14" s="1349">
        <f t="shared" si="10"/>
        <v>880</v>
      </c>
      <c r="M14" s="1349">
        <f t="shared" si="0"/>
      </c>
      <c r="N14" s="1349">
        <f t="shared" si="11"/>
      </c>
      <c r="O14" s="1349">
        <f t="shared" si="12"/>
      </c>
      <c r="P14" s="92">
        <f t="shared" si="1"/>
      </c>
      <c r="Q14" s="1349">
        <f t="shared" si="13"/>
      </c>
      <c r="R14" s="1349">
        <f t="shared" si="14"/>
      </c>
      <c r="S14" s="1349">
        <f t="shared" si="2"/>
      </c>
      <c r="T14" s="1349">
        <f t="shared" si="15"/>
      </c>
      <c r="U14" s="1349">
        <f t="shared" si="16"/>
      </c>
      <c r="V14" s="1349">
        <f t="shared" si="7"/>
      </c>
      <c r="W14" s="94"/>
      <c r="X14" s="68"/>
      <c r="Y14" s="99"/>
      <c r="Z14" s="100"/>
      <c r="AA14" s="82"/>
      <c r="AB14" s="72">
        <f t="shared" si="4"/>
      </c>
      <c r="AC14" s="72">
        <f t="shared" si="5"/>
      </c>
    </row>
    <row r="15" spans="1:29" s="12" customFormat="1" ht="24" customHeight="1">
      <c r="A15" s="67"/>
      <c r="B15" s="216" t="s">
        <v>657</v>
      </c>
      <c r="C15" s="216" t="s">
        <v>677</v>
      </c>
      <c r="D15" s="125">
        <v>87</v>
      </c>
      <c r="E15" s="125">
        <v>40</v>
      </c>
      <c r="F15" s="125">
        <v>1</v>
      </c>
      <c r="G15" s="78"/>
      <c r="H15" s="116" t="str">
        <f t="shared" si="6"/>
        <v>③-2C1</v>
      </c>
      <c r="I15" s="117" t="str">
        <f t="shared" si="8"/>
        <v>③-2B1</v>
      </c>
      <c r="J15" s="1348">
        <f t="shared" si="3"/>
      </c>
      <c r="K15" s="1349">
        <f t="shared" si="9"/>
      </c>
      <c r="L15" s="1349">
        <f t="shared" si="10"/>
      </c>
      <c r="M15" s="1349">
        <f t="shared" si="0"/>
        <v>87</v>
      </c>
      <c r="N15" s="1349">
        <f t="shared" si="11"/>
        <v>40</v>
      </c>
      <c r="O15" s="1349">
        <f t="shared" si="12"/>
        <v>3480</v>
      </c>
      <c r="P15" s="92">
        <f t="shared" si="1"/>
      </c>
      <c r="Q15" s="1349">
        <f t="shared" si="13"/>
      </c>
      <c r="R15" s="1349">
        <f t="shared" si="14"/>
      </c>
      <c r="S15" s="1349">
        <f t="shared" si="2"/>
      </c>
      <c r="T15" s="1349">
        <f t="shared" si="15"/>
      </c>
      <c r="U15" s="1349">
        <f t="shared" si="16"/>
      </c>
      <c r="V15" s="1349">
        <f t="shared" si="7"/>
      </c>
      <c r="W15" s="94"/>
      <c r="X15" s="68"/>
      <c r="Y15" s="99"/>
      <c r="Z15" s="100"/>
      <c r="AA15" s="82"/>
      <c r="AB15" s="72">
        <f t="shared" si="4"/>
      </c>
      <c r="AC15" s="72">
        <f t="shared" si="5"/>
      </c>
    </row>
    <row r="16" spans="1:29" s="12" customFormat="1" ht="24" customHeight="1">
      <c r="A16" s="67"/>
      <c r="B16" s="216" t="s">
        <v>657</v>
      </c>
      <c r="C16" s="216" t="s">
        <v>678</v>
      </c>
      <c r="D16" s="125">
        <v>6</v>
      </c>
      <c r="E16" s="125">
        <v>30</v>
      </c>
      <c r="F16" s="125">
        <v>1</v>
      </c>
      <c r="G16" s="78"/>
      <c r="H16" s="116" t="str">
        <f t="shared" si="6"/>
        <v>③-2C1</v>
      </c>
      <c r="I16" s="117" t="str">
        <f t="shared" si="8"/>
        <v>③-2B2</v>
      </c>
      <c r="J16" s="1348">
        <f t="shared" si="3"/>
        <v>6</v>
      </c>
      <c r="K16" s="1349">
        <f t="shared" si="9"/>
        <v>30</v>
      </c>
      <c r="L16" s="1349">
        <f t="shared" si="10"/>
        <v>180</v>
      </c>
      <c r="M16" s="1349">
        <f t="shared" si="0"/>
      </c>
      <c r="N16" s="1349">
        <f t="shared" si="11"/>
      </c>
      <c r="O16" s="1349">
        <f t="shared" si="12"/>
      </c>
      <c r="P16" s="92">
        <f t="shared" si="1"/>
      </c>
      <c r="Q16" s="1349">
        <f t="shared" si="13"/>
      </c>
      <c r="R16" s="1349">
        <f t="shared" si="14"/>
      </c>
      <c r="S16" s="1349">
        <f t="shared" si="2"/>
      </c>
      <c r="T16" s="1349">
        <f t="shared" si="15"/>
      </c>
      <c r="U16" s="1349">
        <f t="shared" si="16"/>
      </c>
      <c r="V16" s="1349">
        <f t="shared" si="7"/>
      </c>
      <c r="W16" s="94"/>
      <c r="X16" s="68"/>
      <c r="Y16" s="99"/>
      <c r="Z16" s="100"/>
      <c r="AA16" s="82"/>
      <c r="AB16" s="72">
        <f t="shared" si="4"/>
      </c>
      <c r="AC16" s="72">
        <f t="shared" si="5"/>
      </c>
    </row>
    <row r="17" spans="1:29" s="12" customFormat="1" ht="24" customHeight="1">
      <c r="A17" s="67"/>
      <c r="B17" s="216" t="s">
        <v>657</v>
      </c>
      <c r="C17" s="216" t="s">
        <v>679</v>
      </c>
      <c r="D17" s="125">
        <v>10</v>
      </c>
      <c r="E17" s="125">
        <v>20</v>
      </c>
      <c r="F17" s="125">
        <v>1</v>
      </c>
      <c r="G17" s="78"/>
      <c r="H17" s="116" t="str">
        <f t="shared" si="6"/>
        <v>③-2C1</v>
      </c>
      <c r="I17" s="117" t="str">
        <f t="shared" si="8"/>
        <v>③-2B3</v>
      </c>
      <c r="J17" s="1348">
        <f t="shared" si="3"/>
        <v>10</v>
      </c>
      <c r="K17" s="1349">
        <f t="shared" si="9"/>
        <v>20</v>
      </c>
      <c r="L17" s="1349">
        <f t="shared" si="10"/>
        <v>200</v>
      </c>
      <c r="M17" s="1349">
        <f t="shared" si="0"/>
      </c>
      <c r="N17" s="1349">
        <f t="shared" si="11"/>
      </c>
      <c r="O17" s="1349">
        <f t="shared" si="12"/>
      </c>
      <c r="P17" s="92">
        <f t="shared" si="1"/>
      </c>
      <c r="Q17" s="1349">
        <f t="shared" si="13"/>
      </c>
      <c r="R17" s="1349">
        <f t="shared" si="14"/>
      </c>
      <c r="S17" s="1349">
        <f t="shared" si="2"/>
      </c>
      <c r="T17" s="1349">
        <f t="shared" si="15"/>
      </c>
      <c r="U17" s="1349">
        <f t="shared" si="16"/>
      </c>
      <c r="V17" s="1349">
        <f t="shared" si="7"/>
      </c>
      <c r="W17" s="94"/>
      <c r="X17" s="68"/>
      <c r="Y17" s="99"/>
      <c r="Z17" s="100"/>
      <c r="AA17" s="82"/>
      <c r="AB17" s="72">
        <f t="shared" si="4"/>
      </c>
      <c r="AC17" s="72">
        <f t="shared" si="5"/>
      </c>
    </row>
    <row r="18" spans="1:29" s="12" customFormat="1" ht="24" customHeight="1">
      <c r="A18" s="67"/>
      <c r="B18" s="216" t="s">
        <v>657</v>
      </c>
      <c r="C18" s="216" t="s">
        <v>675</v>
      </c>
      <c r="D18" s="125">
        <v>20</v>
      </c>
      <c r="E18" s="125">
        <v>60</v>
      </c>
      <c r="F18" s="125">
        <v>1</v>
      </c>
      <c r="G18" s="78"/>
      <c r="H18" s="116" t="str">
        <f t="shared" si="6"/>
        <v>③-2C1</v>
      </c>
      <c r="I18" s="117" t="str">
        <f t="shared" si="8"/>
        <v>③-1B1</v>
      </c>
      <c r="J18" s="1348">
        <f t="shared" si="3"/>
      </c>
      <c r="K18" s="1349">
        <f t="shared" si="9"/>
      </c>
      <c r="L18" s="1349">
        <f t="shared" si="10"/>
      </c>
      <c r="M18" s="1349">
        <f t="shared" si="0"/>
        <v>20</v>
      </c>
      <c r="N18" s="1349">
        <f t="shared" si="11"/>
        <v>60</v>
      </c>
      <c r="O18" s="1349">
        <f t="shared" si="12"/>
        <v>1200</v>
      </c>
      <c r="P18" s="92">
        <f t="shared" si="1"/>
      </c>
      <c r="Q18" s="1349">
        <f t="shared" si="13"/>
      </c>
      <c r="R18" s="1349">
        <f t="shared" si="14"/>
      </c>
      <c r="S18" s="1349">
        <f t="shared" si="2"/>
      </c>
      <c r="T18" s="1349">
        <f t="shared" si="15"/>
      </c>
      <c r="U18" s="1349">
        <f t="shared" si="16"/>
      </c>
      <c r="V18" s="1349">
        <f t="shared" si="7"/>
      </c>
      <c r="W18" s="94"/>
      <c r="X18" s="68"/>
      <c r="Y18" s="99"/>
      <c r="Z18" s="100"/>
      <c r="AA18" s="82"/>
      <c r="AB18" s="72">
        <f t="shared" si="4"/>
      </c>
      <c r="AC18" s="72">
        <f t="shared" si="5"/>
      </c>
    </row>
    <row r="19" spans="1:29" s="12" customFormat="1" ht="24" customHeight="1">
      <c r="A19" s="67"/>
      <c r="B19" s="216" t="s">
        <v>657</v>
      </c>
      <c r="C19" s="216" t="s">
        <v>680</v>
      </c>
      <c r="D19" s="125">
        <v>155</v>
      </c>
      <c r="E19" s="125">
        <v>70</v>
      </c>
      <c r="F19" s="125">
        <v>1</v>
      </c>
      <c r="G19" s="78"/>
      <c r="H19" s="116" t="str">
        <f t="shared" si="6"/>
        <v>③-2C1</v>
      </c>
      <c r="I19" s="117" t="str">
        <f t="shared" si="8"/>
        <v>③-4B1</v>
      </c>
      <c r="J19" s="1348">
        <f t="shared" si="3"/>
      </c>
      <c r="K19" s="1349">
        <f t="shared" si="9"/>
      </c>
      <c r="L19" s="1349">
        <f t="shared" si="10"/>
      </c>
      <c r="M19" s="1349">
        <f t="shared" si="0"/>
      </c>
      <c r="N19" s="1349">
        <f t="shared" si="11"/>
      </c>
      <c r="O19" s="1349">
        <f t="shared" si="12"/>
      </c>
      <c r="P19" s="92">
        <f t="shared" si="1"/>
        <v>155</v>
      </c>
      <c r="Q19" s="1349">
        <f t="shared" si="13"/>
        <v>70</v>
      </c>
      <c r="R19" s="1349">
        <f t="shared" si="14"/>
        <v>10850</v>
      </c>
      <c r="S19" s="1349">
        <f t="shared" si="2"/>
      </c>
      <c r="T19" s="1349">
        <f t="shared" si="15"/>
      </c>
      <c r="U19" s="1349">
        <f t="shared" si="16"/>
      </c>
      <c r="V19" s="1349">
        <f t="shared" si="7"/>
      </c>
      <c r="W19" s="94"/>
      <c r="X19" s="68"/>
      <c r="Y19" s="99"/>
      <c r="Z19" s="100"/>
      <c r="AA19" s="82"/>
      <c r="AB19" s="72">
        <f t="shared" si="4"/>
      </c>
      <c r="AC19" s="72">
        <f t="shared" si="5"/>
      </c>
    </row>
    <row r="20" spans="1:29" s="12" customFormat="1" ht="24" customHeight="1">
      <c r="A20" s="67"/>
      <c r="B20" s="216" t="s">
        <v>657</v>
      </c>
      <c r="C20" s="216" t="s">
        <v>673</v>
      </c>
      <c r="D20" s="125">
        <v>53</v>
      </c>
      <c r="E20" s="125">
        <v>140</v>
      </c>
      <c r="F20" s="125">
        <v>1</v>
      </c>
      <c r="G20" s="78"/>
      <c r="H20" s="116" t="str">
        <f t="shared" si="6"/>
        <v>③-2C1</v>
      </c>
      <c r="I20" s="117" t="str">
        <f t="shared" si="8"/>
        <v>②-2B1</v>
      </c>
      <c r="J20" s="1348">
        <f t="shared" si="3"/>
      </c>
      <c r="K20" s="1349">
        <f t="shared" si="9"/>
      </c>
      <c r="L20" s="1349">
        <f t="shared" si="10"/>
      </c>
      <c r="M20" s="1349">
        <f t="shared" si="0"/>
      </c>
      <c r="N20" s="1349">
        <f t="shared" si="11"/>
      </c>
      <c r="O20" s="1349">
        <f t="shared" si="12"/>
      </c>
      <c r="P20" s="92">
        <f t="shared" si="1"/>
        <v>53</v>
      </c>
      <c r="Q20" s="1349">
        <f t="shared" si="13"/>
        <v>140</v>
      </c>
      <c r="R20" s="1349">
        <f t="shared" si="14"/>
        <v>7420</v>
      </c>
      <c r="S20" s="1349">
        <f t="shared" si="2"/>
      </c>
      <c r="T20" s="1349">
        <f t="shared" si="15"/>
      </c>
      <c r="U20" s="1349">
        <f t="shared" si="16"/>
      </c>
      <c r="V20" s="1349">
        <f t="shared" si="7"/>
      </c>
      <c r="W20" s="94"/>
      <c r="X20" s="68"/>
      <c r="Y20" s="99"/>
      <c r="Z20" s="100"/>
      <c r="AA20" s="82"/>
      <c r="AB20" s="72">
        <f t="shared" si="4"/>
      </c>
      <c r="AC20" s="72">
        <f t="shared" si="5"/>
      </c>
    </row>
    <row r="21" spans="1:29" s="12" customFormat="1" ht="24" customHeight="1">
      <c r="A21" s="67"/>
      <c r="B21" s="125" t="s">
        <v>708</v>
      </c>
      <c r="C21" s="125" t="s">
        <v>713</v>
      </c>
      <c r="D21" s="125">
        <v>278</v>
      </c>
      <c r="E21" s="125">
        <v>40</v>
      </c>
      <c r="F21" s="125">
        <v>1</v>
      </c>
      <c r="G21" s="78"/>
      <c r="H21" s="116" t="str">
        <f t="shared" si="6"/>
        <v>⑥-2C1</v>
      </c>
      <c r="I21" s="117" t="str">
        <f t="shared" si="8"/>
        <v>⑥-2B1</v>
      </c>
      <c r="J21" s="1348">
        <f t="shared" si="3"/>
      </c>
      <c r="K21" s="1349">
        <f>IF(J21=0,"",$E21)</f>
      </c>
      <c r="L21" s="1349">
        <f>IF((J21*K21)=0,"",J21*K21)</f>
      </c>
      <c r="M21" s="1349">
        <f t="shared" si="0"/>
        <v>278</v>
      </c>
      <c r="N21" s="1349">
        <f>IF(M21=0,"",$E21)</f>
        <v>40</v>
      </c>
      <c r="O21" s="1349">
        <f>IF((M21*N21)=0,"",M21*N21)</f>
        <v>11120</v>
      </c>
      <c r="P21" s="92">
        <f t="shared" si="1"/>
      </c>
      <c r="Q21" s="1349">
        <f>IF(P21=0,"",$E21)</f>
      </c>
      <c r="R21" s="1349">
        <f>IF((P21*Q21)=0,"",P21*Q21)</f>
      </c>
      <c r="S21" s="1349">
        <f t="shared" si="2"/>
      </c>
      <c r="T21" s="1349">
        <f>IF(S21=0,"",$E21)</f>
      </c>
      <c r="U21" s="1349">
        <f>IF((S21*T21)=0,"",S21*T21)</f>
      </c>
      <c r="V21" s="1349">
        <f t="shared" si="7"/>
      </c>
      <c r="W21" s="94"/>
      <c r="X21" s="68"/>
      <c r="Y21" s="99"/>
      <c r="Z21" s="100"/>
      <c r="AA21" s="82"/>
      <c r="AB21" s="72">
        <f t="shared" si="4"/>
      </c>
      <c r="AC21" s="72">
        <f t="shared" si="5"/>
      </c>
    </row>
    <row r="22" spans="1:29" s="12" customFormat="1" ht="24" customHeight="1">
      <c r="A22" s="67"/>
      <c r="B22" s="125" t="s">
        <v>709</v>
      </c>
      <c r="C22" s="125" t="s">
        <v>715</v>
      </c>
      <c r="D22" s="125">
        <v>78</v>
      </c>
      <c r="E22" s="125">
        <v>30</v>
      </c>
      <c r="F22" s="125">
        <v>1</v>
      </c>
      <c r="G22" s="78"/>
      <c r="H22" s="116" t="str">
        <f t="shared" si="6"/>
        <v>⑦-1C1</v>
      </c>
      <c r="I22" s="117" t="str">
        <f t="shared" si="8"/>
        <v>⑦-1B1</v>
      </c>
      <c r="J22" s="91">
        <f aca="true" t="shared" si="17" ref="J22:J70">IF(AND(($F22=1),($E22&lt;40)),$D22,"")</f>
        <v>78</v>
      </c>
      <c r="K22" s="92">
        <f aca="true" t="shared" si="18" ref="K22:K69">IF(J22=0,"",$E22)</f>
        <v>30</v>
      </c>
      <c r="L22" s="92">
        <f aca="true" t="shared" si="19" ref="L22:L70">IF((J22*K22)=0,"",J22*K22)</f>
        <v>2340</v>
      </c>
      <c r="M22" s="92">
        <f aca="true" t="shared" si="20" ref="M22:M70">IF(AND(($F22=1),(AND($E22&gt;=40,$E22&lt;=60))),$D22,"")</f>
      </c>
      <c r="N22" s="92">
        <f aca="true" t="shared" si="21" ref="N22:N69">IF(M22=0,"",$E22)</f>
      </c>
      <c r="O22" s="92">
        <f aca="true" t="shared" si="22" ref="O22:O70">IF((M22*N22)=0,"",M22*N22)</f>
      </c>
      <c r="P22" s="92">
        <f t="shared" si="1"/>
      </c>
      <c r="Q22" s="92">
        <f aca="true" t="shared" si="23" ref="Q22:Q69">IF(P22=0,"",$E22)</f>
      </c>
      <c r="R22" s="92">
        <f aca="true" t="shared" si="24" ref="R22:R70">IF((P22*Q22)=0,"",P22*Q22)</f>
      </c>
      <c r="S22" s="92">
        <f aca="true" t="shared" si="25" ref="S22:S70">IF((AND($F22=2,($E22&gt;60))),$D22,"")</f>
      </c>
      <c r="T22" s="92">
        <f aca="true" t="shared" si="26" ref="T22:T69">IF(S22=0,"",$E22)</f>
      </c>
      <c r="U22" s="92">
        <f aca="true" t="shared" si="27" ref="U22:U70">IF((S22*T22)=0,"",S22*T22)</f>
      </c>
      <c r="V22" s="92">
        <f aca="true" t="shared" si="28" ref="V22:V69">IF(($F22=3),$D22,"")</f>
      </c>
      <c r="W22" s="94"/>
      <c r="X22" s="68"/>
      <c r="Y22" s="99"/>
      <c r="Z22" s="100"/>
      <c r="AA22" s="82"/>
      <c r="AB22" s="72">
        <f t="shared" si="4"/>
      </c>
      <c r="AC22" s="72">
        <f t="shared" si="5"/>
      </c>
    </row>
    <row r="23" spans="1:29" s="12" customFormat="1" ht="24" customHeight="1">
      <c r="A23" s="67"/>
      <c r="B23" s="125" t="s">
        <v>710</v>
      </c>
      <c r="C23" s="125" t="s">
        <v>715</v>
      </c>
      <c r="D23" s="125">
        <v>259</v>
      </c>
      <c r="E23" s="125">
        <v>60</v>
      </c>
      <c r="F23" s="125">
        <v>1</v>
      </c>
      <c r="G23" s="78"/>
      <c r="H23" s="116" t="str">
        <f t="shared" si="6"/>
        <v>⑦-2C1</v>
      </c>
      <c r="I23" s="117" t="str">
        <f t="shared" si="8"/>
        <v>⑦-1B1</v>
      </c>
      <c r="J23" s="91">
        <f t="shared" si="17"/>
      </c>
      <c r="K23" s="92">
        <f t="shared" si="18"/>
      </c>
      <c r="L23" s="92">
        <f t="shared" si="19"/>
      </c>
      <c r="M23" s="92">
        <f t="shared" si="20"/>
        <v>259</v>
      </c>
      <c r="N23" s="92">
        <f t="shared" si="21"/>
        <v>60</v>
      </c>
      <c r="O23" s="92">
        <f t="shared" si="22"/>
        <v>15540</v>
      </c>
      <c r="P23" s="92">
        <f t="shared" si="1"/>
      </c>
      <c r="Q23" s="92">
        <f t="shared" si="23"/>
      </c>
      <c r="R23" s="92">
        <f t="shared" si="24"/>
      </c>
      <c r="S23" s="92">
        <f t="shared" si="25"/>
      </c>
      <c r="T23" s="92">
        <f t="shared" si="26"/>
      </c>
      <c r="U23" s="92">
        <f t="shared" si="27"/>
      </c>
      <c r="V23" s="92">
        <f t="shared" si="28"/>
      </c>
      <c r="W23" s="94"/>
      <c r="X23" s="68"/>
      <c r="Y23" s="99"/>
      <c r="Z23" s="100"/>
      <c r="AA23" s="82"/>
      <c r="AB23" s="72">
        <f t="shared" si="4"/>
      </c>
      <c r="AC23" s="72">
        <f t="shared" si="5"/>
      </c>
    </row>
    <row r="24" spans="1:29" s="12" customFormat="1" ht="24" customHeight="1">
      <c r="A24" s="67"/>
      <c r="B24" s="125" t="s">
        <v>711</v>
      </c>
      <c r="C24" s="125" t="s">
        <v>715</v>
      </c>
      <c r="D24" s="125">
        <v>534</v>
      </c>
      <c r="E24" s="125">
        <v>100</v>
      </c>
      <c r="F24" s="125">
        <v>1</v>
      </c>
      <c r="G24" s="78"/>
      <c r="H24" s="116" t="str">
        <f t="shared" si="6"/>
        <v>⑦-2C2</v>
      </c>
      <c r="I24" s="117" t="str">
        <f t="shared" si="8"/>
        <v>⑦-1B1</v>
      </c>
      <c r="J24" s="91">
        <f t="shared" si="17"/>
      </c>
      <c r="K24" s="92">
        <f t="shared" si="18"/>
      </c>
      <c r="L24" s="92">
        <f t="shared" si="19"/>
      </c>
      <c r="M24" s="92">
        <f t="shared" si="20"/>
      </c>
      <c r="N24" s="92">
        <f t="shared" si="21"/>
      </c>
      <c r="O24" s="92">
        <f t="shared" si="22"/>
      </c>
      <c r="P24" s="92">
        <f t="shared" si="1"/>
        <v>534</v>
      </c>
      <c r="Q24" s="92">
        <f t="shared" si="23"/>
        <v>100</v>
      </c>
      <c r="R24" s="92">
        <f t="shared" si="24"/>
        <v>53400</v>
      </c>
      <c r="S24" s="92">
        <f t="shared" si="25"/>
      </c>
      <c r="T24" s="92">
        <f t="shared" si="26"/>
      </c>
      <c r="U24" s="92">
        <f t="shared" si="27"/>
      </c>
      <c r="V24" s="92">
        <f t="shared" si="28"/>
      </c>
      <c r="W24" s="94"/>
      <c r="X24" s="68"/>
      <c r="Y24" s="99"/>
      <c r="Z24" s="100"/>
      <c r="AA24" s="82"/>
      <c r="AB24" s="72">
        <f t="shared" si="4"/>
      </c>
      <c r="AC24" s="72">
        <f t="shared" si="5"/>
      </c>
    </row>
    <row r="25" spans="1:29" s="12" customFormat="1" ht="24" customHeight="1">
      <c r="A25" s="67"/>
      <c r="B25" s="125" t="s">
        <v>658</v>
      </c>
      <c r="C25" s="125" t="s">
        <v>681</v>
      </c>
      <c r="D25" s="125">
        <v>12</v>
      </c>
      <c r="E25" s="125">
        <v>20</v>
      </c>
      <c r="F25" s="125">
        <v>1</v>
      </c>
      <c r="G25" s="78"/>
      <c r="H25" s="116" t="str">
        <f t="shared" si="6"/>
        <v>支道14C1</v>
      </c>
      <c r="I25" s="117" t="str">
        <f t="shared" si="8"/>
        <v>支道14B1</v>
      </c>
      <c r="J25" s="91">
        <f t="shared" si="17"/>
        <v>12</v>
      </c>
      <c r="K25" s="92">
        <f t="shared" si="18"/>
        <v>20</v>
      </c>
      <c r="L25" s="92">
        <f t="shared" si="19"/>
        <v>240</v>
      </c>
      <c r="M25" s="92">
        <f t="shared" si="20"/>
      </c>
      <c r="N25" s="92">
        <f t="shared" si="21"/>
      </c>
      <c r="O25" s="92">
        <f t="shared" si="22"/>
      </c>
      <c r="P25" s="92">
        <f t="shared" si="1"/>
      </c>
      <c r="Q25" s="92">
        <f t="shared" si="23"/>
      </c>
      <c r="R25" s="92">
        <f t="shared" si="24"/>
      </c>
      <c r="S25" s="92">
        <f t="shared" si="25"/>
      </c>
      <c r="T25" s="92">
        <f t="shared" si="26"/>
      </c>
      <c r="U25" s="92">
        <f t="shared" si="27"/>
      </c>
      <c r="V25" s="92">
        <f t="shared" si="28"/>
      </c>
      <c r="W25" s="94"/>
      <c r="X25" s="68"/>
      <c r="Y25" s="99"/>
      <c r="Z25" s="100"/>
      <c r="AA25" s="82"/>
      <c r="AB25" s="72">
        <f t="shared" si="4"/>
      </c>
      <c r="AC25" s="72">
        <f t="shared" si="5"/>
      </c>
    </row>
    <row r="26" spans="1:29" s="12" customFormat="1" ht="24" customHeight="1">
      <c r="A26" s="67"/>
      <c r="B26" s="125" t="s">
        <v>658</v>
      </c>
      <c r="C26" s="125" t="s">
        <v>674</v>
      </c>
      <c r="D26" s="125">
        <v>10</v>
      </c>
      <c r="E26" s="125">
        <v>70</v>
      </c>
      <c r="F26" s="125">
        <v>1</v>
      </c>
      <c r="G26" s="78"/>
      <c r="H26" s="116" t="str">
        <f t="shared" si="6"/>
        <v>支道14C1</v>
      </c>
      <c r="I26" s="117" t="str">
        <f t="shared" si="8"/>
        <v>支道13B2</v>
      </c>
      <c r="J26" s="91">
        <f t="shared" si="17"/>
      </c>
      <c r="K26" s="92">
        <f t="shared" si="18"/>
      </c>
      <c r="L26" s="92">
        <f t="shared" si="19"/>
      </c>
      <c r="M26" s="92">
        <f t="shared" si="20"/>
      </c>
      <c r="N26" s="92">
        <f t="shared" si="21"/>
      </c>
      <c r="O26" s="92">
        <f t="shared" si="22"/>
      </c>
      <c r="P26" s="92">
        <f t="shared" si="1"/>
        <v>10</v>
      </c>
      <c r="Q26" s="92">
        <f t="shared" si="23"/>
        <v>70</v>
      </c>
      <c r="R26" s="92">
        <f t="shared" si="24"/>
        <v>700</v>
      </c>
      <c r="S26" s="92">
        <f t="shared" si="25"/>
      </c>
      <c r="T26" s="92">
        <f t="shared" si="26"/>
      </c>
      <c r="U26" s="92">
        <f t="shared" si="27"/>
      </c>
      <c r="V26" s="92">
        <f t="shared" si="28"/>
      </c>
      <c r="W26" s="94"/>
      <c r="X26" s="68"/>
      <c r="Y26" s="99"/>
      <c r="Z26" s="100"/>
      <c r="AA26" s="82"/>
      <c r="AB26" s="72">
        <f t="shared" si="4"/>
      </c>
      <c r="AC26" s="72">
        <f t="shared" si="5"/>
      </c>
    </row>
    <row r="27" spans="1:29" s="12" customFormat="1" ht="24" customHeight="1">
      <c r="A27" s="67"/>
      <c r="B27" s="125" t="s">
        <v>659</v>
      </c>
      <c r="C27" s="125" t="s">
        <v>682</v>
      </c>
      <c r="D27" s="125">
        <v>29</v>
      </c>
      <c r="E27" s="125">
        <v>20</v>
      </c>
      <c r="F27" s="125">
        <v>1</v>
      </c>
      <c r="G27" s="78"/>
      <c r="H27" s="116" t="str">
        <f t="shared" si="6"/>
        <v>支道13C1</v>
      </c>
      <c r="I27" s="117" t="str">
        <f t="shared" si="8"/>
        <v>支道13B1</v>
      </c>
      <c r="J27" s="91">
        <f t="shared" si="17"/>
        <v>29</v>
      </c>
      <c r="K27" s="92">
        <f t="shared" si="18"/>
        <v>20</v>
      </c>
      <c r="L27" s="92">
        <f t="shared" si="19"/>
        <v>580</v>
      </c>
      <c r="M27" s="92">
        <f t="shared" si="20"/>
      </c>
      <c r="N27" s="92">
        <f t="shared" si="21"/>
      </c>
      <c r="O27" s="92">
        <f t="shared" si="22"/>
      </c>
      <c r="P27" s="92">
        <f t="shared" si="1"/>
      </c>
      <c r="Q27" s="92">
        <f t="shared" si="23"/>
      </c>
      <c r="R27" s="92">
        <f t="shared" si="24"/>
      </c>
      <c r="S27" s="92">
        <f t="shared" si="25"/>
      </c>
      <c r="T27" s="92">
        <f t="shared" si="26"/>
      </c>
      <c r="U27" s="92">
        <f t="shared" si="27"/>
      </c>
      <c r="V27" s="92">
        <f t="shared" si="28"/>
      </c>
      <c r="W27" s="94"/>
      <c r="X27" s="68"/>
      <c r="Y27" s="99"/>
      <c r="Z27" s="100"/>
      <c r="AA27" s="82"/>
      <c r="AB27" s="72">
        <f t="shared" si="4"/>
      </c>
      <c r="AC27" s="72">
        <f t="shared" si="5"/>
      </c>
    </row>
    <row r="28" spans="1:29" s="12" customFormat="1" ht="24" customHeight="1">
      <c r="A28" s="67"/>
      <c r="B28" s="125" t="s">
        <v>659</v>
      </c>
      <c r="C28" s="125" t="s">
        <v>673</v>
      </c>
      <c r="D28" s="125">
        <v>5</v>
      </c>
      <c r="E28" s="125">
        <v>60</v>
      </c>
      <c r="F28" s="125">
        <v>1</v>
      </c>
      <c r="G28" s="78"/>
      <c r="H28" s="116" t="str">
        <f t="shared" si="6"/>
        <v>支道13C1</v>
      </c>
      <c r="I28" s="117" t="str">
        <f t="shared" si="8"/>
        <v>②-2B1</v>
      </c>
      <c r="J28" s="91">
        <f t="shared" si="17"/>
      </c>
      <c r="K28" s="92">
        <f t="shared" si="18"/>
      </c>
      <c r="L28" s="92">
        <f t="shared" si="19"/>
      </c>
      <c r="M28" s="92">
        <f t="shared" si="20"/>
        <v>5</v>
      </c>
      <c r="N28" s="92">
        <f t="shared" si="21"/>
        <v>60</v>
      </c>
      <c r="O28" s="92">
        <f t="shared" si="22"/>
        <v>300</v>
      </c>
      <c r="P28" s="92">
        <f t="shared" si="1"/>
      </c>
      <c r="Q28" s="92">
        <f t="shared" si="23"/>
      </c>
      <c r="R28" s="92">
        <f t="shared" si="24"/>
      </c>
      <c r="S28" s="92">
        <f t="shared" si="25"/>
      </c>
      <c r="T28" s="92">
        <f t="shared" si="26"/>
      </c>
      <c r="U28" s="92">
        <f t="shared" si="27"/>
      </c>
      <c r="V28" s="92">
        <f t="shared" si="28"/>
      </c>
      <c r="W28" s="94"/>
      <c r="X28" s="68"/>
      <c r="Y28" s="99"/>
      <c r="Z28" s="100"/>
      <c r="AA28" s="82"/>
      <c r="AB28" s="72">
        <f t="shared" si="4"/>
      </c>
      <c r="AC28" s="72">
        <f t="shared" si="5"/>
      </c>
    </row>
    <row r="29" spans="1:29" s="12" customFormat="1" ht="24" customHeight="1">
      <c r="A29" s="67"/>
      <c r="B29" s="125" t="s">
        <v>660</v>
      </c>
      <c r="C29" s="125" t="s">
        <v>672</v>
      </c>
      <c r="D29" s="125">
        <v>213</v>
      </c>
      <c r="E29" s="125">
        <v>40</v>
      </c>
      <c r="F29" s="125">
        <v>1</v>
      </c>
      <c r="G29" s="78"/>
      <c r="H29" s="116" t="str">
        <f t="shared" si="6"/>
        <v>支道12C1</v>
      </c>
      <c r="I29" s="117" t="str">
        <f t="shared" si="8"/>
        <v>④B1</v>
      </c>
      <c r="J29" s="91">
        <f t="shared" si="17"/>
      </c>
      <c r="K29" s="92">
        <f t="shared" si="18"/>
      </c>
      <c r="L29" s="92">
        <f t="shared" si="19"/>
      </c>
      <c r="M29" s="92">
        <f t="shared" si="20"/>
        <v>213</v>
      </c>
      <c r="N29" s="92">
        <f t="shared" si="21"/>
        <v>40</v>
      </c>
      <c r="O29" s="92">
        <f t="shared" si="22"/>
        <v>8520</v>
      </c>
      <c r="P29" s="92">
        <f t="shared" si="1"/>
      </c>
      <c r="Q29" s="92">
        <f t="shared" si="23"/>
      </c>
      <c r="R29" s="92">
        <f t="shared" si="24"/>
      </c>
      <c r="S29" s="92">
        <f t="shared" si="25"/>
      </c>
      <c r="T29" s="92">
        <f t="shared" si="26"/>
      </c>
      <c r="U29" s="92">
        <f t="shared" si="27"/>
      </c>
      <c r="V29" s="92">
        <f t="shared" si="28"/>
      </c>
      <c r="W29" s="94"/>
      <c r="X29" s="68"/>
      <c r="Y29" s="99"/>
      <c r="Z29" s="100"/>
      <c r="AA29" s="82"/>
      <c r="AB29" s="72">
        <f t="shared" si="4"/>
      </c>
      <c r="AC29" s="72">
        <f t="shared" si="5"/>
      </c>
    </row>
    <row r="30" spans="1:29" s="12" customFormat="1" ht="24" customHeight="1">
      <c r="A30" s="67"/>
      <c r="B30" s="125" t="s">
        <v>661</v>
      </c>
      <c r="C30" s="125" t="s">
        <v>680</v>
      </c>
      <c r="D30" s="125">
        <v>43</v>
      </c>
      <c r="E30" s="125">
        <v>30</v>
      </c>
      <c r="F30" s="125">
        <v>1</v>
      </c>
      <c r="G30" s="78"/>
      <c r="H30" s="116" t="str">
        <f t="shared" si="6"/>
        <v>支道11C1</v>
      </c>
      <c r="I30" s="117" t="str">
        <f t="shared" si="8"/>
        <v>③-4B1</v>
      </c>
      <c r="J30" s="91">
        <f t="shared" si="17"/>
        <v>43</v>
      </c>
      <c r="K30" s="92">
        <f t="shared" si="18"/>
        <v>30</v>
      </c>
      <c r="L30" s="92">
        <f t="shared" si="19"/>
        <v>1290</v>
      </c>
      <c r="M30" s="92">
        <f t="shared" si="20"/>
      </c>
      <c r="N30" s="92">
        <f t="shared" si="21"/>
      </c>
      <c r="O30" s="92">
        <f t="shared" si="22"/>
      </c>
      <c r="P30" s="92">
        <f t="shared" si="1"/>
      </c>
      <c r="Q30" s="92">
        <f t="shared" si="23"/>
      </c>
      <c r="R30" s="92">
        <f t="shared" si="24"/>
      </c>
      <c r="S30" s="92">
        <f t="shared" si="25"/>
      </c>
      <c r="T30" s="92">
        <f t="shared" si="26"/>
      </c>
      <c r="U30" s="92">
        <f t="shared" si="27"/>
      </c>
      <c r="V30" s="92">
        <f t="shared" si="28"/>
      </c>
      <c r="W30" s="94"/>
      <c r="X30" s="68"/>
      <c r="Y30" s="99"/>
      <c r="Z30" s="100"/>
      <c r="AA30" s="82"/>
      <c r="AB30" s="72">
        <f t="shared" si="4"/>
      </c>
      <c r="AC30" s="72">
        <f t="shared" si="5"/>
      </c>
    </row>
    <row r="31" spans="1:29" s="12" customFormat="1" ht="24" customHeight="1">
      <c r="A31" s="67"/>
      <c r="B31" s="125" t="s">
        <v>764</v>
      </c>
      <c r="C31" s="125" t="s">
        <v>676</v>
      </c>
      <c r="D31" s="125">
        <v>29</v>
      </c>
      <c r="E31" s="125">
        <v>30</v>
      </c>
      <c r="F31" s="125">
        <v>1</v>
      </c>
      <c r="G31" s="78"/>
      <c r="H31" s="116" t="str">
        <f t="shared" si="6"/>
        <v>支道10C1</v>
      </c>
      <c r="I31" s="117" t="str">
        <f t="shared" si="8"/>
        <v>③-3B1</v>
      </c>
      <c r="J31" s="91">
        <f t="shared" si="17"/>
        <v>29</v>
      </c>
      <c r="K31" s="92">
        <f t="shared" si="18"/>
        <v>30</v>
      </c>
      <c r="L31" s="92">
        <f t="shared" si="19"/>
        <v>870</v>
      </c>
      <c r="M31" s="92">
        <f t="shared" si="20"/>
      </c>
      <c r="N31" s="92">
        <f t="shared" si="21"/>
      </c>
      <c r="O31" s="92">
        <f t="shared" si="22"/>
      </c>
      <c r="P31" s="92">
        <f t="shared" si="1"/>
      </c>
      <c r="Q31" s="92">
        <f t="shared" si="23"/>
      </c>
      <c r="R31" s="92">
        <f t="shared" si="24"/>
      </c>
      <c r="S31" s="92">
        <f t="shared" si="25"/>
      </c>
      <c r="T31" s="92">
        <f t="shared" si="26"/>
      </c>
      <c r="U31" s="92">
        <f t="shared" si="27"/>
      </c>
      <c r="V31" s="92">
        <f t="shared" si="28"/>
      </c>
      <c r="W31" s="94"/>
      <c r="X31" s="68"/>
      <c r="Y31" s="99"/>
      <c r="Z31" s="100"/>
      <c r="AA31" s="82"/>
      <c r="AB31" s="72">
        <f t="shared" si="4"/>
      </c>
      <c r="AC31" s="72">
        <f t="shared" si="5"/>
      </c>
    </row>
    <row r="32" spans="1:29" s="12" customFormat="1" ht="24" customHeight="1">
      <c r="A32" s="67"/>
      <c r="B32" s="125" t="s">
        <v>662</v>
      </c>
      <c r="C32" s="125" t="s">
        <v>675</v>
      </c>
      <c r="D32" s="125">
        <v>38</v>
      </c>
      <c r="E32" s="125">
        <v>20</v>
      </c>
      <c r="F32" s="125">
        <v>1</v>
      </c>
      <c r="G32" s="78"/>
      <c r="H32" s="116" t="str">
        <f t="shared" si="6"/>
        <v>支道9C1</v>
      </c>
      <c r="I32" s="117" t="str">
        <f t="shared" si="8"/>
        <v>③-1B1</v>
      </c>
      <c r="J32" s="91">
        <f t="shared" si="17"/>
        <v>38</v>
      </c>
      <c r="K32" s="92">
        <f t="shared" si="18"/>
        <v>20</v>
      </c>
      <c r="L32" s="92">
        <f t="shared" si="19"/>
        <v>760</v>
      </c>
      <c r="M32" s="92">
        <f t="shared" si="20"/>
      </c>
      <c r="N32" s="92">
        <f t="shared" si="21"/>
      </c>
      <c r="O32" s="92">
        <f t="shared" si="22"/>
      </c>
      <c r="P32" s="92">
        <f t="shared" si="1"/>
      </c>
      <c r="Q32" s="92">
        <f t="shared" si="23"/>
      </c>
      <c r="R32" s="92">
        <f t="shared" si="24"/>
      </c>
      <c r="S32" s="92">
        <f t="shared" si="25"/>
      </c>
      <c r="T32" s="92">
        <f t="shared" si="26"/>
      </c>
      <c r="U32" s="92">
        <f t="shared" si="27"/>
      </c>
      <c r="V32" s="92">
        <f t="shared" si="28"/>
      </c>
      <c r="W32" s="94"/>
      <c r="X32" s="68"/>
      <c r="Y32" s="99"/>
      <c r="Z32" s="100"/>
      <c r="AA32" s="82"/>
      <c r="AB32" s="72">
        <f t="shared" si="4"/>
      </c>
      <c r="AC32" s="72">
        <f t="shared" si="5"/>
      </c>
    </row>
    <row r="33" spans="1:29" s="12" customFormat="1" ht="24" customHeight="1">
      <c r="A33" s="67"/>
      <c r="B33" s="125" t="s">
        <v>663</v>
      </c>
      <c r="C33" s="125" t="s">
        <v>715</v>
      </c>
      <c r="D33" s="126">
        <v>59</v>
      </c>
      <c r="E33" s="126">
        <v>30</v>
      </c>
      <c r="F33" s="125">
        <v>1</v>
      </c>
      <c r="G33" s="78"/>
      <c r="H33" s="116" t="str">
        <f t="shared" si="6"/>
        <v>支道8C1</v>
      </c>
      <c r="I33" s="117" t="str">
        <f t="shared" si="8"/>
        <v>⑦-1B1</v>
      </c>
      <c r="J33" s="91">
        <f t="shared" si="17"/>
        <v>59</v>
      </c>
      <c r="K33" s="92">
        <f t="shared" si="18"/>
        <v>30</v>
      </c>
      <c r="L33" s="92">
        <f t="shared" si="19"/>
        <v>1770</v>
      </c>
      <c r="M33" s="92">
        <f t="shared" si="20"/>
      </c>
      <c r="N33" s="92">
        <f t="shared" si="21"/>
      </c>
      <c r="O33" s="92">
        <f t="shared" si="22"/>
      </c>
      <c r="P33" s="92">
        <f t="shared" si="1"/>
      </c>
      <c r="Q33" s="92">
        <f t="shared" si="23"/>
      </c>
      <c r="R33" s="92">
        <f t="shared" si="24"/>
      </c>
      <c r="S33" s="92">
        <f t="shared" si="25"/>
      </c>
      <c r="T33" s="92">
        <f t="shared" si="26"/>
      </c>
      <c r="U33" s="92">
        <f t="shared" si="27"/>
      </c>
      <c r="V33" s="92">
        <f t="shared" si="28"/>
      </c>
      <c r="W33" s="94"/>
      <c r="X33" s="68"/>
      <c r="Y33" s="99"/>
      <c r="Z33" s="100"/>
      <c r="AA33" s="82"/>
      <c r="AB33" s="72">
        <f t="shared" si="4"/>
      </c>
      <c r="AC33" s="72">
        <f t="shared" si="5"/>
      </c>
    </row>
    <row r="34" spans="1:29" s="12" customFormat="1" ht="24" customHeight="1">
      <c r="A34" s="67"/>
      <c r="B34" s="125" t="s">
        <v>664</v>
      </c>
      <c r="C34" s="125" t="s">
        <v>715</v>
      </c>
      <c r="D34" s="125">
        <v>111</v>
      </c>
      <c r="E34" s="125">
        <v>70</v>
      </c>
      <c r="F34" s="125">
        <v>1</v>
      </c>
      <c r="G34" s="78"/>
      <c r="H34" s="116" t="str">
        <f t="shared" si="6"/>
        <v>支道8C2</v>
      </c>
      <c r="I34" s="117" t="str">
        <f t="shared" si="8"/>
        <v>⑦-1B1</v>
      </c>
      <c r="J34" s="91">
        <f t="shared" si="17"/>
      </c>
      <c r="K34" s="92">
        <f t="shared" si="18"/>
      </c>
      <c r="L34" s="92">
        <f t="shared" si="19"/>
      </c>
      <c r="M34" s="92">
        <f t="shared" si="20"/>
      </c>
      <c r="N34" s="92">
        <f t="shared" si="21"/>
      </c>
      <c r="O34" s="92">
        <f t="shared" si="22"/>
      </c>
      <c r="P34" s="92">
        <f t="shared" si="1"/>
        <v>111</v>
      </c>
      <c r="Q34" s="92">
        <f t="shared" si="23"/>
        <v>70</v>
      </c>
      <c r="R34" s="92">
        <f t="shared" si="24"/>
        <v>7770</v>
      </c>
      <c r="S34" s="92">
        <f t="shared" si="25"/>
      </c>
      <c r="T34" s="92">
        <f t="shared" si="26"/>
      </c>
      <c r="U34" s="92">
        <f t="shared" si="27"/>
      </c>
      <c r="V34" s="92">
        <f t="shared" si="28"/>
      </c>
      <c r="W34" s="94"/>
      <c r="X34" s="68"/>
      <c r="Y34" s="99"/>
      <c r="Z34" s="100"/>
      <c r="AA34" s="82"/>
      <c r="AB34" s="72">
        <f t="shared" si="4"/>
      </c>
      <c r="AC34" s="72">
        <f t="shared" si="5"/>
      </c>
    </row>
    <row r="35" spans="1:29" s="12" customFormat="1" ht="24" customHeight="1">
      <c r="A35" s="67"/>
      <c r="B35" s="125" t="s">
        <v>664</v>
      </c>
      <c r="C35" s="125" t="s">
        <v>716</v>
      </c>
      <c r="D35" s="125">
        <v>82</v>
      </c>
      <c r="E35" s="125">
        <v>20</v>
      </c>
      <c r="F35" s="125">
        <v>1</v>
      </c>
      <c r="G35" s="78"/>
      <c r="H35" s="89" t="str">
        <f t="shared" si="6"/>
        <v>支道8C2</v>
      </c>
      <c r="I35" s="117" t="str">
        <f t="shared" si="8"/>
        <v>⑦-2B1</v>
      </c>
      <c r="J35" s="91">
        <f t="shared" si="17"/>
        <v>82</v>
      </c>
      <c r="K35" s="92">
        <f t="shared" si="18"/>
        <v>20</v>
      </c>
      <c r="L35" s="92">
        <f t="shared" si="19"/>
        <v>1640</v>
      </c>
      <c r="M35" s="92">
        <f t="shared" si="20"/>
      </c>
      <c r="N35" s="92">
        <f t="shared" si="21"/>
      </c>
      <c r="O35" s="92">
        <f t="shared" si="22"/>
      </c>
      <c r="P35" s="92">
        <f t="shared" si="1"/>
      </c>
      <c r="Q35" s="92">
        <f t="shared" si="23"/>
      </c>
      <c r="R35" s="92">
        <f t="shared" si="24"/>
      </c>
      <c r="S35" s="92">
        <f t="shared" si="25"/>
      </c>
      <c r="T35" s="92">
        <f t="shared" si="26"/>
      </c>
      <c r="U35" s="92">
        <f t="shared" si="27"/>
      </c>
      <c r="V35" s="92">
        <f t="shared" si="28"/>
      </c>
      <c r="W35" s="94"/>
      <c r="X35" s="68"/>
      <c r="Y35" s="99"/>
      <c r="Z35" s="100"/>
      <c r="AA35" s="82"/>
      <c r="AB35" s="72">
        <f t="shared" si="4"/>
      </c>
      <c r="AC35" s="72">
        <f t="shared" si="5"/>
      </c>
    </row>
    <row r="36" spans="1:29" s="12" customFormat="1" ht="24" customHeight="1">
      <c r="A36" s="67"/>
      <c r="B36" s="125" t="s">
        <v>712</v>
      </c>
      <c r="C36" s="125" t="s">
        <v>715</v>
      </c>
      <c r="D36" s="125">
        <v>128</v>
      </c>
      <c r="E36" s="125">
        <v>40</v>
      </c>
      <c r="F36" s="125">
        <v>1</v>
      </c>
      <c r="G36" s="78"/>
      <c r="H36" s="89" t="str">
        <f t="shared" si="6"/>
        <v>支道17C1</v>
      </c>
      <c r="I36" s="117" t="str">
        <f t="shared" si="8"/>
        <v>⑦-1B1</v>
      </c>
      <c r="J36" s="91">
        <f t="shared" si="17"/>
      </c>
      <c r="K36" s="92">
        <f t="shared" si="18"/>
      </c>
      <c r="L36" s="92">
        <f t="shared" si="19"/>
      </c>
      <c r="M36" s="92">
        <f t="shared" si="20"/>
        <v>128</v>
      </c>
      <c r="N36" s="92">
        <f t="shared" si="21"/>
        <v>40</v>
      </c>
      <c r="O36" s="92">
        <f t="shared" si="22"/>
        <v>5120</v>
      </c>
      <c r="P36" s="92">
        <f t="shared" si="1"/>
      </c>
      <c r="Q36" s="92">
        <f t="shared" si="23"/>
      </c>
      <c r="R36" s="92">
        <f t="shared" si="24"/>
      </c>
      <c r="S36" s="92">
        <f t="shared" si="25"/>
      </c>
      <c r="T36" s="92">
        <f t="shared" si="26"/>
      </c>
      <c r="U36" s="92">
        <f t="shared" si="27"/>
      </c>
      <c r="V36" s="92">
        <f t="shared" si="28"/>
      </c>
      <c r="W36" s="94"/>
      <c r="X36" s="68"/>
      <c r="Y36" s="99"/>
      <c r="Z36" s="100"/>
      <c r="AA36" s="82"/>
      <c r="AB36" s="72">
        <f t="shared" si="4"/>
      </c>
      <c r="AC36" s="72">
        <f t="shared" si="5"/>
      </c>
    </row>
    <row r="37" spans="1:29" s="12" customFormat="1" ht="24" customHeight="1">
      <c r="A37" s="67"/>
      <c r="B37" s="125" t="s">
        <v>665</v>
      </c>
      <c r="C37" s="125" t="s">
        <v>759</v>
      </c>
      <c r="D37" s="125">
        <v>178</v>
      </c>
      <c r="E37" s="125">
        <v>650</v>
      </c>
      <c r="F37" s="125">
        <v>1</v>
      </c>
      <c r="G37" s="78"/>
      <c r="H37" s="89" t="str">
        <f t="shared" si="6"/>
        <v>支道7C1</v>
      </c>
      <c r="I37" s="117" t="str">
        <f t="shared" si="8"/>
        <v>③-1B2</v>
      </c>
      <c r="J37" s="91">
        <f t="shared" si="17"/>
      </c>
      <c r="K37" s="92">
        <f t="shared" si="18"/>
      </c>
      <c r="L37" s="92">
        <f t="shared" si="19"/>
      </c>
      <c r="M37" s="92">
        <f t="shared" si="20"/>
      </c>
      <c r="N37" s="92">
        <f t="shared" si="21"/>
      </c>
      <c r="O37" s="92">
        <f t="shared" si="22"/>
      </c>
      <c r="P37" s="92">
        <f t="shared" si="1"/>
        <v>178</v>
      </c>
      <c r="Q37" s="92">
        <f t="shared" si="23"/>
        <v>650</v>
      </c>
      <c r="R37" s="92">
        <f t="shared" si="24"/>
        <v>115700</v>
      </c>
      <c r="S37" s="92">
        <f t="shared" si="25"/>
      </c>
      <c r="T37" s="92">
        <f t="shared" si="26"/>
      </c>
      <c r="U37" s="92">
        <f t="shared" si="27"/>
      </c>
      <c r="V37" s="92">
        <f t="shared" si="28"/>
      </c>
      <c r="W37" s="94"/>
      <c r="X37" s="68"/>
      <c r="Y37" s="99"/>
      <c r="Z37" s="100"/>
      <c r="AA37" s="82"/>
      <c r="AB37" s="72">
        <f t="shared" si="4"/>
      </c>
      <c r="AC37" s="72">
        <f t="shared" si="5"/>
      </c>
    </row>
    <row r="38" spans="1:29" s="12" customFormat="1" ht="24" customHeight="1">
      <c r="A38" s="67"/>
      <c r="B38" s="125" t="s">
        <v>666</v>
      </c>
      <c r="C38" s="125" t="s">
        <v>675</v>
      </c>
      <c r="D38" s="125">
        <v>120</v>
      </c>
      <c r="E38" s="125">
        <v>500</v>
      </c>
      <c r="F38" s="125">
        <v>1</v>
      </c>
      <c r="G38" s="78"/>
      <c r="H38" s="89" t="str">
        <f t="shared" si="6"/>
        <v>支道6C1</v>
      </c>
      <c r="I38" s="117" t="str">
        <f t="shared" si="8"/>
        <v>③-1B1</v>
      </c>
      <c r="J38" s="91">
        <f t="shared" si="17"/>
      </c>
      <c r="K38" s="92">
        <f t="shared" si="18"/>
      </c>
      <c r="L38" s="92">
        <f t="shared" si="19"/>
      </c>
      <c r="M38" s="92">
        <f t="shared" si="20"/>
      </c>
      <c r="N38" s="92">
        <f t="shared" si="21"/>
      </c>
      <c r="O38" s="92">
        <f t="shared" si="22"/>
      </c>
      <c r="P38" s="92">
        <f t="shared" si="1"/>
        <v>120</v>
      </c>
      <c r="Q38" s="92">
        <f t="shared" si="23"/>
        <v>500</v>
      </c>
      <c r="R38" s="92">
        <f t="shared" si="24"/>
        <v>60000</v>
      </c>
      <c r="S38" s="92">
        <f t="shared" si="25"/>
      </c>
      <c r="T38" s="92">
        <f t="shared" si="26"/>
      </c>
      <c r="U38" s="92">
        <f t="shared" si="27"/>
      </c>
      <c r="V38" s="92">
        <f t="shared" si="28"/>
      </c>
      <c r="W38" s="94"/>
      <c r="X38" s="68"/>
      <c r="Y38" s="99"/>
      <c r="Z38" s="100"/>
      <c r="AA38" s="82"/>
      <c r="AB38" s="72">
        <f t="shared" si="4"/>
      </c>
      <c r="AC38" s="72">
        <f t="shared" si="5"/>
      </c>
    </row>
    <row r="39" spans="1:29" s="12" customFormat="1" ht="24" customHeight="1">
      <c r="A39" s="67"/>
      <c r="B39" s="125" t="s">
        <v>666</v>
      </c>
      <c r="C39" s="125" t="s">
        <v>759</v>
      </c>
      <c r="D39" s="125">
        <v>41</v>
      </c>
      <c r="E39" s="125">
        <v>530</v>
      </c>
      <c r="F39" s="125">
        <v>1</v>
      </c>
      <c r="G39" s="78"/>
      <c r="H39" s="89" t="str">
        <f t="shared" si="6"/>
        <v>支道6C1</v>
      </c>
      <c r="I39" s="117" t="str">
        <f t="shared" si="8"/>
        <v>③-1B2</v>
      </c>
      <c r="J39" s="91">
        <f t="shared" si="17"/>
      </c>
      <c r="K39" s="92">
        <f t="shared" si="18"/>
      </c>
      <c r="L39" s="92">
        <f t="shared" si="19"/>
      </c>
      <c r="M39" s="92">
        <f t="shared" si="20"/>
      </c>
      <c r="N39" s="92">
        <f t="shared" si="21"/>
      </c>
      <c r="O39" s="92">
        <f t="shared" si="22"/>
      </c>
      <c r="P39" s="92">
        <f t="shared" si="1"/>
        <v>41</v>
      </c>
      <c r="Q39" s="92">
        <f t="shared" si="23"/>
        <v>530</v>
      </c>
      <c r="R39" s="92">
        <f t="shared" si="24"/>
        <v>21730</v>
      </c>
      <c r="S39" s="92">
        <f t="shared" si="25"/>
      </c>
      <c r="T39" s="92">
        <f t="shared" si="26"/>
      </c>
      <c r="U39" s="92">
        <f t="shared" si="27"/>
      </c>
      <c r="V39" s="92">
        <f t="shared" si="28"/>
      </c>
      <c r="W39" s="94"/>
      <c r="X39" s="68"/>
      <c r="Y39" s="99"/>
      <c r="Z39" s="100"/>
      <c r="AA39" s="82"/>
      <c r="AB39" s="72">
        <f t="shared" si="4"/>
      </c>
      <c r="AC39" s="72">
        <f t="shared" si="5"/>
      </c>
    </row>
    <row r="40" spans="1:29" s="12" customFormat="1" ht="24" customHeight="1">
      <c r="A40" s="67"/>
      <c r="B40" s="125" t="s">
        <v>667</v>
      </c>
      <c r="C40" s="125" t="s">
        <v>687</v>
      </c>
      <c r="D40" s="125">
        <v>68</v>
      </c>
      <c r="E40" s="125">
        <v>110</v>
      </c>
      <c r="F40" s="125">
        <v>1</v>
      </c>
      <c r="G40" s="78"/>
      <c r="H40" s="89" t="str">
        <f t="shared" si="6"/>
        <v>支道5C1</v>
      </c>
      <c r="I40" s="117" t="str">
        <f t="shared" si="8"/>
        <v>支道2B1</v>
      </c>
      <c r="J40" s="91">
        <f t="shared" si="17"/>
      </c>
      <c r="K40" s="92">
        <f t="shared" si="18"/>
      </c>
      <c r="L40" s="92">
        <f t="shared" si="19"/>
      </c>
      <c r="M40" s="92">
        <f t="shared" si="20"/>
      </c>
      <c r="N40" s="92">
        <f t="shared" si="21"/>
      </c>
      <c r="O40" s="92">
        <f t="shared" si="22"/>
      </c>
      <c r="P40" s="92">
        <f t="shared" si="1"/>
        <v>68</v>
      </c>
      <c r="Q40" s="92">
        <f t="shared" si="23"/>
        <v>110</v>
      </c>
      <c r="R40" s="92">
        <f t="shared" si="24"/>
        <v>7480</v>
      </c>
      <c r="S40" s="92">
        <f t="shared" si="25"/>
      </c>
      <c r="T40" s="92">
        <f t="shared" si="26"/>
      </c>
      <c r="U40" s="92">
        <f t="shared" si="27"/>
      </c>
      <c r="V40" s="92">
        <f t="shared" si="28"/>
      </c>
      <c r="W40" s="94"/>
      <c r="X40" s="68"/>
      <c r="Y40" s="99"/>
      <c r="Z40" s="100"/>
      <c r="AA40" s="82"/>
      <c r="AB40" s="72">
        <f t="shared" si="4"/>
      </c>
      <c r="AC40" s="72">
        <f t="shared" si="5"/>
      </c>
    </row>
    <row r="41" spans="1:29" s="12" customFormat="1" ht="24" customHeight="1">
      <c r="A41" s="67"/>
      <c r="B41" s="125" t="s">
        <v>668</v>
      </c>
      <c r="C41" s="125" t="s">
        <v>688</v>
      </c>
      <c r="D41" s="125">
        <v>162</v>
      </c>
      <c r="E41" s="125">
        <v>80</v>
      </c>
      <c r="F41" s="125">
        <v>1</v>
      </c>
      <c r="G41" s="78"/>
      <c r="H41" s="89" t="str">
        <f t="shared" si="6"/>
        <v>支道4C1</v>
      </c>
      <c r="I41" s="117" t="str">
        <f t="shared" si="8"/>
        <v>⑪-2B1</v>
      </c>
      <c r="J41" s="91">
        <f t="shared" si="17"/>
      </c>
      <c r="K41" s="92">
        <f t="shared" si="18"/>
      </c>
      <c r="L41" s="92">
        <f t="shared" si="19"/>
      </c>
      <c r="M41" s="92">
        <f t="shared" si="20"/>
      </c>
      <c r="N41" s="92">
        <f t="shared" si="21"/>
      </c>
      <c r="O41" s="92">
        <f t="shared" si="22"/>
      </c>
      <c r="P41" s="92">
        <f t="shared" si="1"/>
        <v>162</v>
      </c>
      <c r="Q41" s="92">
        <f t="shared" si="23"/>
        <v>80</v>
      </c>
      <c r="R41" s="92">
        <f t="shared" si="24"/>
        <v>12960</v>
      </c>
      <c r="S41" s="92">
        <f t="shared" si="25"/>
      </c>
      <c r="T41" s="92">
        <f t="shared" si="26"/>
      </c>
      <c r="U41" s="92">
        <f t="shared" si="27"/>
      </c>
      <c r="V41" s="92">
        <f t="shared" si="28"/>
      </c>
      <c r="W41" s="94"/>
      <c r="X41" s="68"/>
      <c r="Y41" s="99"/>
      <c r="Z41" s="100"/>
      <c r="AA41" s="82"/>
      <c r="AB41" s="72">
        <f t="shared" si="4"/>
      </c>
      <c r="AC41" s="72">
        <f t="shared" si="5"/>
      </c>
    </row>
    <row r="42" spans="1:29" s="12" customFormat="1" ht="24" customHeight="1">
      <c r="A42" s="67"/>
      <c r="B42" s="125" t="s">
        <v>669</v>
      </c>
      <c r="C42" s="125" t="s">
        <v>688</v>
      </c>
      <c r="D42" s="125">
        <v>41</v>
      </c>
      <c r="E42" s="125">
        <v>50</v>
      </c>
      <c r="F42" s="125">
        <v>1</v>
      </c>
      <c r="G42" s="78"/>
      <c r="H42" s="89" t="str">
        <f t="shared" si="6"/>
        <v>支道3C1</v>
      </c>
      <c r="I42" s="117" t="str">
        <f t="shared" si="8"/>
        <v>⑪-2B1</v>
      </c>
      <c r="J42" s="91">
        <f t="shared" si="17"/>
      </c>
      <c r="K42" s="92">
        <f t="shared" si="18"/>
      </c>
      <c r="L42" s="92">
        <f t="shared" si="19"/>
      </c>
      <c r="M42" s="92">
        <f t="shared" si="20"/>
        <v>41</v>
      </c>
      <c r="N42" s="92">
        <f t="shared" si="21"/>
        <v>50</v>
      </c>
      <c r="O42" s="92">
        <f t="shared" si="22"/>
        <v>2050</v>
      </c>
      <c r="P42" s="92">
        <f t="shared" si="1"/>
      </c>
      <c r="Q42" s="92">
        <f t="shared" si="23"/>
      </c>
      <c r="R42" s="92">
        <f t="shared" si="24"/>
      </c>
      <c r="S42" s="92">
        <f t="shared" si="25"/>
      </c>
      <c r="T42" s="92">
        <f t="shared" si="26"/>
      </c>
      <c r="U42" s="92">
        <f t="shared" si="27"/>
      </c>
      <c r="V42" s="92">
        <f t="shared" si="28"/>
      </c>
      <c r="W42" s="94"/>
      <c r="X42" s="68"/>
      <c r="Y42" s="99"/>
      <c r="Z42" s="100"/>
      <c r="AA42" s="82"/>
      <c r="AB42" s="72">
        <f t="shared" si="4"/>
      </c>
      <c r="AC42" s="72">
        <f t="shared" si="5"/>
      </c>
    </row>
    <row r="43" spans="1:29" s="12" customFormat="1" ht="24" customHeight="1">
      <c r="A43" s="67"/>
      <c r="B43" s="125" t="s">
        <v>670</v>
      </c>
      <c r="C43" s="125" t="s">
        <v>687</v>
      </c>
      <c r="D43" s="125">
        <v>15</v>
      </c>
      <c r="E43" s="125">
        <v>70</v>
      </c>
      <c r="F43" s="125">
        <v>1</v>
      </c>
      <c r="G43" s="78"/>
      <c r="H43" s="89" t="str">
        <f t="shared" si="6"/>
        <v>支道2C1</v>
      </c>
      <c r="I43" s="117" t="str">
        <f t="shared" si="8"/>
        <v>支道2B1</v>
      </c>
      <c r="J43" s="91">
        <f t="shared" si="17"/>
      </c>
      <c r="K43" s="92">
        <f t="shared" si="18"/>
      </c>
      <c r="L43" s="92">
        <f t="shared" si="19"/>
      </c>
      <c r="M43" s="92">
        <f t="shared" si="20"/>
      </c>
      <c r="N43" s="92">
        <f t="shared" si="21"/>
      </c>
      <c r="O43" s="92">
        <f t="shared" si="22"/>
      </c>
      <c r="P43" s="92">
        <f t="shared" si="1"/>
        <v>15</v>
      </c>
      <c r="Q43" s="92">
        <f t="shared" si="23"/>
        <v>70</v>
      </c>
      <c r="R43" s="92">
        <f t="shared" si="24"/>
        <v>1050</v>
      </c>
      <c r="S43" s="92">
        <f t="shared" si="25"/>
      </c>
      <c r="T43" s="92">
        <f t="shared" si="26"/>
      </c>
      <c r="U43" s="92">
        <f t="shared" si="27"/>
      </c>
      <c r="V43" s="92">
        <f t="shared" si="28"/>
      </c>
      <c r="W43" s="94"/>
      <c r="X43" s="68"/>
      <c r="Y43" s="99"/>
      <c r="Z43" s="100"/>
      <c r="AA43" s="82"/>
      <c r="AB43" s="72">
        <f t="shared" si="4"/>
      </c>
      <c r="AC43" s="72">
        <f t="shared" si="5"/>
      </c>
    </row>
    <row r="44" spans="1:29" s="12" customFormat="1" ht="24" customHeight="1">
      <c r="A44" s="67"/>
      <c r="B44" s="125" t="s">
        <v>670</v>
      </c>
      <c r="C44" s="125" t="s">
        <v>675</v>
      </c>
      <c r="D44" s="125">
        <v>131</v>
      </c>
      <c r="E44" s="125">
        <v>530</v>
      </c>
      <c r="F44" s="125">
        <v>1</v>
      </c>
      <c r="G44" s="78"/>
      <c r="H44" s="89" t="str">
        <f t="shared" si="6"/>
        <v>支道2C1</v>
      </c>
      <c r="I44" s="117" t="str">
        <f t="shared" si="8"/>
        <v>③-1B1</v>
      </c>
      <c r="J44" s="91">
        <f t="shared" si="17"/>
      </c>
      <c r="K44" s="92">
        <f t="shared" si="18"/>
      </c>
      <c r="L44" s="92">
        <f t="shared" si="19"/>
      </c>
      <c r="M44" s="92">
        <f t="shared" si="20"/>
      </c>
      <c r="N44" s="92">
        <f t="shared" si="21"/>
      </c>
      <c r="O44" s="92">
        <f t="shared" si="22"/>
      </c>
      <c r="P44" s="92">
        <f t="shared" si="1"/>
        <v>131</v>
      </c>
      <c r="Q44" s="92">
        <f t="shared" si="23"/>
        <v>530</v>
      </c>
      <c r="R44" s="92">
        <f t="shared" si="24"/>
        <v>69430</v>
      </c>
      <c r="S44" s="92">
        <f t="shared" si="25"/>
      </c>
      <c r="T44" s="92">
        <f t="shared" si="26"/>
      </c>
      <c r="U44" s="92">
        <f t="shared" si="27"/>
      </c>
      <c r="V44" s="92">
        <f t="shared" si="28"/>
      </c>
      <c r="W44" s="94"/>
      <c r="X44" s="68"/>
      <c r="Y44" s="99"/>
      <c r="Z44" s="100"/>
      <c r="AA44" s="82"/>
      <c r="AB44" s="72">
        <f t="shared" si="4"/>
      </c>
      <c r="AC44" s="72">
        <f t="shared" si="5"/>
      </c>
    </row>
    <row r="45" spans="1:29" s="12" customFormat="1" ht="24" customHeight="1">
      <c r="A45" s="67"/>
      <c r="B45" s="126" t="s">
        <v>671</v>
      </c>
      <c r="C45" s="125" t="s">
        <v>688</v>
      </c>
      <c r="D45" s="125">
        <v>664</v>
      </c>
      <c r="E45" s="125">
        <v>80</v>
      </c>
      <c r="F45" s="125">
        <v>1</v>
      </c>
      <c r="G45" s="78"/>
      <c r="H45" s="89" t="str">
        <f t="shared" si="6"/>
        <v>支道1C1</v>
      </c>
      <c r="I45" s="117" t="str">
        <f t="shared" si="8"/>
        <v>⑪-2B1</v>
      </c>
      <c r="J45" s="91">
        <f t="shared" si="17"/>
      </c>
      <c r="K45" s="92">
        <f t="shared" si="18"/>
      </c>
      <c r="L45" s="92">
        <f t="shared" si="19"/>
      </c>
      <c r="M45" s="92">
        <f t="shared" si="20"/>
      </c>
      <c r="N45" s="92">
        <f t="shared" si="21"/>
      </c>
      <c r="O45" s="92">
        <f t="shared" si="22"/>
      </c>
      <c r="P45" s="92">
        <f t="shared" si="1"/>
        <v>664</v>
      </c>
      <c r="Q45" s="92">
        <f t="shared" si="23"/>
        <v>80</v>
      </c>
      <c r="R45" s="92">
        <f t="shared" si="24"/>
        <v>53120</v>
      </c>
      <c r="S45" s="92">
        <f t="shared" si="25"/>
      </c>
      <c r="T45" s="92">
        <f t="shared" si="26"/>
      </c>
      <c r="U45" s="92">
        <f t="shared" si="27"/>
      </c>
      <c r="V45" s="92">
        <f t="shared" si="28"/>
      </c>
      <c r="W45" s="94"/>
      <c r="X45" s="68"/>
      <c r="Y45" s="99"/>
      <c r="Z45" s="100"/>
      <c r="AA45" s="82"/>
      <c r="AB45" s="72">
        <f t="shared" si="4"/>
      </c>
      <c r="AC45" s="72">
        <f t="shared" si="5"/>
      </c>
    </row>
    <row r="46" spans="1:29" s="12" customFormat="1" ht="24" customHeight="1">
      <c r="A46" s="67"/>
      <c r="B46" s="126" t="s">
        <v>671</v>
      </c>
      <c r="C46" s="125" t="s">
        <v>717</v>
      </c>
      <c r="D46" s="125">
        <v>361</v>
      </c>
      <c r="E46" s="125">
        <v>320</v>
      </c>
      <c r="F46" s="125">
        <v>1</v>
      </c>
      <c r="G46" s="78"/>
      <c r="H46" s="89" t="str">
        <f t="shared" si="6"/>
        <v>支道1C1</v>
      </c>
      <c r="I46" s="117" t="str">
        <f t="shared" si="8"/>
        <v>⑥-1B1</v>
      </c>
      <c r="J46" s="91">
        <f t="shared" si="17"/>
      </c>
      <c r="K46" s="92">
        <f t="shared" si="18"/>
      </c>
      <c r="L46" s="92">
        <f t="shared" si="19"/>
      </c>
      <c r="M46" s="92">
        <f t="shared" si="20"/>
      </c>
      <c r="N46" s="92">
        <f t="shared" si="21"/>
      </c>
      <c r="O46" s="92">
        <f t="shared" si="22"/>
      </c>
      <c r="P46" s="92">
        <f t="shared" si="1"/>
        <v>361</v>
      </c>
      <c r="Q46" s="92">
        <f t="shared" si="23"/>
        <v>320</v>
      </c>
      <c r="R46" s="92">
        <f t="shared" si="24"/>
        <v>115520</v>
      </c>
      <c r="S46" s="92">
        <f t="shared" si="25"/>
      </c>
      <c r="T46" s="92">
        <f t="shared" si="26"/>
      </c>
      <c r="U46" s="92">
        <f t="shared" si="27"/>
      </c>
      <c r="V46" s="92">
        <f t="shared" si="28"/>
      </c>
      <c r="W46" s="94"/>
      <c r="X46" s="68"/>
      <c r="Y46" s="99"/>
      <c r="Z46" s="100"/>
      <c r="AA46" s="82"/>
      <c r="AB46" s="72">
        <f t="shared" si="4"/>
      </c>
      <c r="AC46" s="72">
        <f t="shared" si="5"/>
      </c>
    </row>
    <row r="47" spans="1:29" s="12" customFormat="1" ht="24" customHeight="1">
      <c r="A47" s="67"/>
      <c r="B47" s="125" t="s">
        <v>671</v>
      </c>
      <c r="C47" s="126" t="s">
        <v>715</v>
      </c>
      <c r="D47" s="126">
        <v>247</v>
      </c>
      <c r="E47" s="126">
        <v>330</v>
      </c>
      <c r="F47" s="125">
        <v>1</v>
      </c>
      <c r="G47" s="78"/>
      <c r="H47" s="89" t="str">
        <f t="shared" si="6"/>
        <v>支道1C1</v>
      </c>
      <c r="I47" s="117" t="str">
        <f t="shared" si="8"/>
        <v>⑦-1B1</v>
      </c>
      <c r="J47" s="91">
        <f t="shared" si="17"/>
      </c>
      <c r="K47" s="92">
        <f t="shared" si="18"/>
      </c>
      <c r="L47" s="92">
        <f t="shared" si="19"/>
      </c>
      <c r="M47" s="92">
        <f t="shared" si="20"/>
      </c>
      <c r="N47" s="92">
        <f t="shared" si="21"/>
      </c>
      <c r="O47" s="92">
        <f t="shared" si="22"/>
      </c>
      <c r="P47" s="92">
        <f t="shared" si="1"/>
        <v>247</v>
      </c>
      <c r="Q47" s="92">
        <f t="shared" si="23"/>
        <v>330</v>
      </c>
      <c r="R47" s="92">
        <f t="shared" si="24"/>
        <v>81510</v>
      </c>
      <c r="S47" s="92">
        <f t="shared" si="25"/>
      </c>
      <c r="T47" s="92">
        <f t="shared" si="26"/>
      </c>
      <c r="U47" s="92">
        <f t="shared" si="27"/>
      </c>
      <c r="V47" s="92">
        <f t="shared" si="28"/>
      </c>
      <c r="W47" s="94"/>
      <c r="X47" s="68"/>
      <c r="Y47" s="99"/>
      <c r="Z47" s="100"/>
      <c r="AA47" s="82"/>
      <c r="AB47" s="72">
        <f t="shared" si="4"/>
      </c>
      <c r="AC47" s="72">
        <f t="shared" si="5"/>
      </c>
    </row>
    <row r="48" spans="1:29" s="12" customFormat="1" ht="24" customHeight="1">
      <c r="A48" s="67"/>
      <c r="B48" s="125"/>
      <c r="C48" s="126"/>
      <c r="D48" s="126"/>
      <c r="E48" s="126"/>
      <c r="F48" s="126"/>
      <c r="G48" s="78"/>
      <c r="H48" s="89">
        <f t="shared" si="6"/>
      </c>
      <c r="I48" s="117">
        <f t="shared" si="8"/>
      </c>
      <c r="J48" s="91">
        <f t="shared" si="17"/>
      </c>
      <c r="K48" s="92">
        <f t="shared" si="18"/>
      </c>
      <c r="L48" s="92">
        <f t="shared" si="19"/>
      </c>
      <c r="M48" s="92">
        <f t="shared" si="20"/>
      </c>
      <c r="N48" s="92">
        <f t="shared" si="21"/>
      </c>
      <c r="O48" s="92">
        <f t="shared" si="22"/>
      </c>
      <c r="P48" s="92">
        <f t="shared" si="1"/>
      </c>
      <c r="Q48" s="92">
        <f t="shared" si="23"/>
      </c>
      <c r="R48" s="92">
        <f t="shared" si="24"/>
      </c>
      <c r="S48" s="92">
        <f t="shared" si="25"/>
      </c>
      <c r="T48" s="92">
        <f t="shared" si="26"/>
      </c>
      <c r="U48" s="92">
        <f t="shared" si="27"/>
      </c>
      <c r="V48" s="92">
        <f t="shared" si="28"/>
      </c>
      <c r="W48" s="94"/>
      <c r="X48" s="68"/>
      <c r="Y48" s="99"/>
      <c r="Z48" s="100"/>
      <c r="AA48" s="82"/>
      <c r="AB48" s="72">
        <f t="shared" si="4"/>
      </c>
      <c r="AC48" s="72">
        <f t="shared" si="5"/>
      </c>
    </row>
    <row r="49" spans="1:29" s="12" customFormat="1" ht="24" customHeight="1">
      <c r="A49" s="67"/>
      <c r="B49" s="125" t="s">
        <v>760</v>
      </c>
      <c r="C49" s="126" t="s">
        <v>759</v>
      </c>
      <c r="D49" s="126">
        <v>130</v>
      </c>
      <c r="E49" s="126"/>
      <c r="F49" s="126">
        <v>3</v>
      </c>
      <c r="G49" s="78"/>
      <c r="H49" s="89" t="str">
        <f t="shared" si="6"/>
        <v>地区外より客土</v>
      </c>
      <c r="I49" s="117" t="str">
        <f t="shared" si="8"/>
        <v>③-1B2</v>
      </c>
      <c r="J49" s="91">
        <f t="shared" si="17"/>
      </c>
      <c r="K49" s="92">
        <f t="shared" si="18"/>
      </c>
      <c r="L49" s="92">
        <f t="shared" si="19"/>
      </c>
      <c r="M49" s="92">
        <f t="shared" si="20"/>
      </c>
      <c r="N49" s="92">
        <f t="shared" si="21"/>
      </c>
      <c r="O49" s="92">
        <f t="shared" si="22"/>
      </c>
      <c r="P49" s="92">
        <f t="shared" si="1"/>
      </c>
      <c r="Q49" s="92">
        <f t="shared" si="23"/>
      </c>
      <c r="R49" s="92">
        <f t="shared" si="24"/>
      </c>
      <c r="S49" s="92">
        <f t="shared" si="25"/>
      </c>
      <c r="T49" s="92">
        <f t="shared" si="26"/>
      </c>
      <c r="U49" s="92">
        <f t="shared" si="27"/>
      </c>
      <c r="V49" s="92">
        <f t="shared" si="28"/>
        <v>130</v>
      </c>
      <c r="W49" s="94"/>
      <c r="X49" s="68"/>
      <c r="Y49" s="99"/>
      <c r="Z49" s="100"/>
      <c r="AA49" s="82"/>
      <c r="AB49" s="72">
        <f t="shared" si="4"/>
        <v>0</v>
      </c>
      <c r="AC49" s="72">
        <f t="shared" si="5"/>
      </c>
    </row>
    <row r="50" spans="1:29" s="12" customFormat="1" ht="24" customHeight="1">
      <c r="A50" s="67"/>
      <c r="B50" s="125" t="s">
        <v>760</v>
      </c>
      <c r="C50" s="126" t="s">
        <v>676</v>
      </c>
      <c r="D50" s="126">
        <v>756</v>
      </c>
      <c r="E50" s="126"/>
      <c r="F50" s="126">
        <v>3</v>
      </c>
      <c r="G50" s="78"/>
      <c r="H50" s="89" t="str">
        <f t="shared" si="6"/>
        <v>地区外より客土</v>
      </c>
      <c r="I50" s="117" t="str">
        <f t="shared" si="8"/>
        <v>③-3B1</v>
      </c>
      <c r="J50" s="91">
        <f t="shared" si="17"/>
      </c>
      <c r="K50" s="92">
        <f t="shared" si="18"/>
      </c>
      <c r="L50" s="92">
        <f t="shared" si="19"/>
      </c>
      <c r="M50" s="92">
        <f t="shared" si="20"/>
      </c>
      <c r="N50" s="92">
        <f t="shared" si="21"/>
      </c>
      <c r="O50" s="92">
        <f t="shared" si="22"/>
      </c>
      <c r="P50" s="92">
        <f t="shared" si="1"/>
      </c>
      <c r="Q50" s="92">
        <f t="shared" si="23"/>
      </c>
      <c r="R50" s="92">
        <f t="shared" si="24"/>
      </c>
      <c r="S50" s="92">
        <f t="shared" si="25"/>
      </c>
      <c r="T50" s="92">
        <f t="shared" si="26"/>
      </c>
      <c r="U50" s="92">
        <f t="shared" si="27"/>
      </c>
      <c r="V50" s="92">
        <f t="shared" si="28"/>
        <v>756</v>
      </c>
      <c r="W50" s="94"/>
      <c r="X50" s="68"/>
      <c r="Y50" s="99"/>
      <c r="Z50" s="100"/>
      <c r="AA50" s="82"/>
      <c r="AB50" s="72">
        <f t="shared" si="4"/>
        <v>0</v>
      </c>
      <c r="AC50" s="72">
        <f t="shared" si="5"/>
      </c>
    </row>
    <row r="51" spans="1:29" s="12" customFormat="1" ht="24" customHeight="1">
      <c r="A51" s="67"/>
      <c r="B51" s="125" t="s">
        <v>760</v>
      </c>
      <c r="C51" s="125" t="s">
        <v>717</v>
      </c>
      <c r="D51" s="125">
        <v>1918</v>
      </c>
      <c r="E51" s="125"/>
      <c r="F51" s="126">
        <v>3</v>
      </c>
      <c r="G51" s="78"/>
      <c r="H51" s="89" t="str">
        <f t="shared" si="6"/>
        <v>地区外より客土</v>
      </c>
      <c r="I51" s="117" t="str">
        <f t="shared" si="8"/>
        <v>⑥-1B1</v>
      </c>
      <c r="J51" s="91">
        <f t="shared" si="17"/>
      </c>
      <c r="K51" s="92">
        <f t="shared" si="18"/>
      </c>
      <c r="L51" s="92">
        <f t="shared" si="19"/>
      </c>
      <c r="M51" s="92">
        <f t="shared" si="20"/>
      </c>
      <c r="N51" s="92">
        <f t="shared" si="21"/>
      </c>
      <c r="O51" s="92">
        <f t="shared" si="22"/>
      </c>
      <c r="P51" s="92">
        <f t="shared" si="1"/>
      </c>
      <c r="Q51" s="92">
        <f t="shared" si="23"/>
      </c>
      <c r="R51" s="92">
        <f t="shared" si="24"/>
      </c>
      <c r="S51" s="92">
        <f t="shared" si="25"/>
      </c>
      <c r="T51" s="92">
        <f t="shared" si="26"/>
      </c>
      <c r="U51" s="92">
        <f t="shared" si="27"/>
      </c>
      <c r="V51" s="92">
        <f t="shared" si="28"/>
        <v>1918</v>
      </c>
      <c r="W51" s="94"/>
      <c r="X51" s="68"/>
      <c r="Y51" s="99"/>
      <c r="Z51" s="100"/>
      <c r="AA51" s="82"/>
      <c r="AB51" s="72">
        <f t="shared" si="4"/>
        <v>0</v>
      </c>
      <c r="AC51" s="72">
        <f t="shared" si="5"/>
      </c>
    </row>
    <row r="52" spans="1:29" s="12" customFormat="1" ht="24" customHeight="1">
      <c r="A52" s="67"/>
      <c r="B52" s="125" t="s">
        <v>760</v>
      </c>
      <c r="C52" s="125" t="s">
        <v>713</v>
      </c>
      <c r="D52" s="125">
        <v>500</v>
      </c>
      <c r="E52" s="125"/>
      <c r="F52" s="126">
        <v>3</v>
      </c>
      <c r="G52" s="78"/>
      <c r="H52" s="89" t="str">
        <f t="shared" si="6"/>
        <v>地区外より客土</v>
      </c>
      <c r="I52" s="90" t="str">
        <f t="shared" si="8"/>
        <v>⑥-2B1</v>
      </c>
      <c r="J52" s="91">
        <f t="shared" si="17"/>
      </c>
      <c r="K52" s="92">
        <f t="shared" si="18"/>
      </c>
      <c r="L52" s="92">
        <f t="shared" si="19"/>
      </c>
      <c r="M52" s="92">
        <f t="shared" si="20"/>
      </c>
      <c r="N52" s="92">
        <f t="shared" si="21"/>
      </c>
      <c r="O52" s="92">
        <f t="shared" si="22"/>
      </c>
      <c r="P52" s="92">
        <f t="shared" si="1"/>
      </c>
      <c r="Q52" s="92">
        <f t="shared" si="23"/>
      </c>
      <c r="R52" s="92">
        <f t="shared" si="24"/>
      </c>
      <c r="S52" s="92">
        <f t="shared" si="25"/>
      </c>
      <c r="T52" s="92">
        <f t="shared" si="26"/>
      </c>
      <c r="U52" s="92">
        <f t="shared" si="27"/>
      </c>
      <c r="V52" s="92">
        <f t="shared" si="28"/>
        <v>500</v>
      </c>
      <c r="W52" s="94"/>
      <c r="X52" s="68"/>
      <c r="Y52" s="99"/>
      <c r="Z52" s="100"/>
      <c r="AA52" s="82"/>
      <c r="AB52" s="72">
        <f t="shared" si="4"/>
        <v>0</v>
      </c>
      <c r="AC52" s="72">
        <f t="shared" si="5"/>
      </c>
    </row>
    <row r="53" spans="1:29" s="12" customFormat="1" ht="24" customHeight="1">
      <c r="A53" s="67"/>
      <c r="B53" s="125" t="s">
        <v>761</v>
      </c>
      <c r="C53" s="125" t="s">
        <v>683</v>
      </c>
      <c r="D53" s="125">
        <v>104</v>
      </c>
      <c r="E53" s="125"/>
      <c r="F53" s="126">
        <v>3</v>
      </c>
      <c r="G53" s="78"/>
      <c r="H53" s="89" t="str">
        <f t="shared" si="6"/>
        <v>地区外より公共残土</v>
      </c>
      <c r="I53" s="90" t="str">
        <f t="shared" si="8"/>
        <v>支道11B1</v>
      </c>
      <c r="J53" s="91">
        <f t="shared" si="17"/>
      </c>
      <c r="K53" s="92">
        <f t="shared" si="18"/>
      </c>
      <c r="L53" s="92">
        <f t="shared" si="19"/>
      </c>
      <c r="M53" s="92">
        <f t="shared" si="20"/>
      </c>
      <c r="N53" s="92">
        <f t="shared" si="21"/>
      </c>
      <c r="O53" s="92">
        <f t="shared" si="22"/>
      </c>
      <c r="P53" s="92">
        <f t="shared" si="1"/>
      </c>
      <c r="Q53" s="92">
        <f t="shared" si="23"/>
      </c>
      <c r="R53" s="92">
        <f t="shared" si="24"/>
      </c>
      <c r="S53" s="92">
        <f t="shared" si="25"/>
      </c>
      <c r="T53" s="92">
        <f t="shared" si="26"/>
      </c>
      <c r="U53" s="92">
        <f t="shared" si="27"/>
      </c>
      <c r="V53" s="92">
        <f t="shared" si="28"/>
        <v>104</v>
      </c>
      <c r="W53" s="94"/>
      <c r="X53" s="68"/>
      <c r="Y53" s="99"/>
      <c r="Z53" s="100"/>
      <c r="AA53" s="82"/>
      <c r="AB53" s="72">
        <f t="shared" si="4"/>
        <v>0</v>
      </c>
      <c r="AC53" s="72">
        <f t="shared" si="5"/>
      </c>
    </row>
    <row r="54" spans="1:29" s="12" customFormat="1" ht="24" customHeight="1">
      <c r="A54" s="67"/>
      <c r="B54" s="125" t="s">
        <v>761</v>
      </c>
      <c r="C54" s="126" t="s">
        <v>684</v>
      </c>
      <c r="D54" s="126">
        <v>70</v>
      </c>
      <c r="E54" s="126"/>
      <c r="F54" s="126">
        <v>3</v>
      </c>
      <c r="G54" s="78"/>
      <c r="H54" s="89" t="str">
        <f t="shared" si="6"/>
        <v>地区外より公共残土</v>
      </c>
      <c r="I54" s="90" t="str">
        <f t="shared" si="8"/>
        <v>支道10B1</v>
      </c>
      <c r="J54" s="91">
        <f t="shared" si="17"/>
      </c>
      <c r="K54" s="92">
        <f>IF(J54=0,"",$E54)</f>
      </c>
      <c r="L54" s="92">
        <f>IF((J54*K54)=0,"",J54*K54)</f>
      </c>
      <c r="M54" s="92">
        <f t="shared" si="20"/>
      </c>
      <c r="N54" s="92">
        <f>IF(M54=0,"",$E54)</f>
      </c>
      <c r="O54" s="92">
        <f>IF((M54*N54)=0,"",M54*N54)</f>
      </c>
      <c r="P54" s="92">
        <f t="shared" si="1"/>
      </c>
      <c r="Q54" s="92">
        <f aca="true" t="shared" si="29" ref="Q54:Q60">IF(P54=0,"",$E54)</f>
      </c>
      <c r="R54" s="92">
        <f aca="true" t="shared" si="30" ref="R54:R60">IF((P54*Q54)=0,"",P54*Q54)</f>
      </c>
      <c r="S54" s="92">
        <f t="shared" si="25"/>
      </c>
      <c r="T54" s="92">
        <f>IF(S54=0,"",$E54)</f>
      </c>
      <c r="U54" s="92">
        <f>IF((S54*T54)=0,"",S54*T54)</f>
      </c>
      <c r="V54" s="92">
        <f t="shared" si="28"/>
        <v>70</v>
      </c>
      <c r="W54" s="94"/>
      <c r="X54" s="68"/>
      <c r="Y54" s="99"/>
      <c r="Z54" s="100"/>
      <c r="AA54" s="82"/>
      <c r="AB54" s="72">
        <f t="shared" si="4"/>
        <v>0</v>
      </c>
      <c r="AC54" s="72">
        <f t="shared" si="5"/>
      </c>
    </row>
    <row r="55" spans="1:29" s="12" customFormat="1" ht="24" customHeight="1">
      <c r="A55" s="67"/>
      <c r="B55" s="125" t="s">
        <v>761</v>
      </c>
      <c r="C55" s="1366" t="s">
        <v>685</v>
      </c>
      <c r="D55" s="126">
        <v>262</v>
      </c>
      <c r="E55" s="126"/>
      <c r="F55" s="126">
        <v>3</v>
      </c>
      <c r="G55" s="78"/>
      <c r="H55" s="89" t="str">
        <f t="shared" si="6"/>
        <v>地区外より公共残土</v>
      </c>
      <c r="I55" s="90" t="str">
        <f t="shared" si="8"/>
        <v>支道9B1</v>
      </c>
      <c r="J55" s="91">
        <f t="shared" si="17"/>
      </c>
      <c r="K55" s="92">
        <f>IF(J55=0,"",$E55)</f>
      </c>
      <c r="L55" s="92">
        <f>IF((J55*K55)=0,"",J55*K55)</f>
      </c>
      <c r="M55" s="92">
        <f t="shared" si="20"/>
      </c>
      <c r="N55" s="92">
        <f>IF(M55=0,"",$E55)</f>
      </c>
      <c r="O55" s="92">
        <f>IF((M55*N55)=0,"",M55*N55)</f>
      </c>
      <c r="P55" s="92">
        <f>IF(AND(($F55=1),(AND($E55&gt;60,$E55&lt;1000))),$D55,"")</f>
      </c>
      <c r="Q55" s="92">
        <f t="shared" si="29"/>
      </c>
      <c r="R55" s="92">
        <f t="shared" si="30"/>
      </c>
      <c r="S55" s="92">
        <f t="shared" si="25"/>
      </c>
      <c r="T55" s="92">
        <f>IF(S55=0,"",$E55)</f>
      </c>
      <c r="U55" s="92">
        <f>IF((S55*T55)=0,"",S55*T55)</f>
      </c>
      <c r="V55" s="92">
        <f t="shared" si="28"/>
        <v>262</v>
      </c>
      <c r="W55" s="94"/>
      <c r="X55" s="68"/>
      <c r="Y55" s="99"/>
      <c r="Z55" s="100"/>
      <c r="AA55" s="82"/>
      <c r="AB55" s="72">
        <f t="shared" si="4"/>
        <v>0</v>
      </c>
      <c r="AC55" s="72">
        <f t="shared" si="5"/>
      </c>
    </row>
    <row r="56" spans="1:29" s="12" customFormat="1" ht="24" customHeight="1">
      <c r="A56" s="67"/>
      <c r="B56" s="125" t="s">
        <v>761</v>
      </c>
      <c r="C56" s="126" t="s">
        <v>686</v>
      </c>
      <c r="D56" s="126">
        <v>134</v>
      </c>
      <c r="E56" s="126"/>
      <c r="F56" s="126">
        <v>3</v>
      </c>
      <c r="G56" s="78"/>
      <c r="H56" s="89" t="str">
        <f t="shared" si="6"/>
        <v>地区外より公共残土</v>
      </c>
      <c r="I56" s="90" t="str">
        <f t="shared" si="8"/>
        <v>支道8B1</v>
      </c>
      <c r="J56" s="91">
        <f t="shared" si="17"/>
      </c>
      <c r="K56" s="92">
        <f t="shared" si="18"/>
      </c>
      <c r="L56" s="92">
        <f t="shared" si="19"/>
      </c>
      <c r="M56" s="92">
        <f t="shared" si="20"/>
      </c>
      <c r="N56" s="92">
        <f t="shared" si="21"/>
      </c>
      <c r="O56" s="92">
        <f t="shared" si="22"/>
      </c>
      <c r="P56" s="92">
        <f aca="true" t="shared" si="31" ref="P56:P70">IF(AND(($F56=1),(AND($E56&gt;60,$E56&lt;1000))),$D56,"")</f>
      </c>
      <c r="Q56" s="92">
        <f t="shared" si="29"/>
      </c>
      <c r="R56" s="92">
        <f t="shared" si="30"/>
      </c>
      <c r="S56" s="92">
        <f t="shared" si="25"/>
      </c>
      <c r="T56" s="92">
        <f t="shared" si="26"/>
      </c>
      <c r="U56" s="92">
        <f t="shared" si="27"/>
      </c>
      <c r="V56" s="92">
        <f t="shared" si="28"/>
        <v>134</v>
      </c>
      <c r="W56" s="94"/>
      <c r="X56" s="68"/>
      <c r="Y56" s="99"/>
      <c r="Z56" s="100"/>
      <c r="AA56" s="82"/>
      <c r="AB56" s="72">
        <f t="shared" si="4"/>
        <v>0</v>
      </c>
      <c r="AC56" s="72">
        <f t="shared" si="5"/>
      </c>
    </row>
    <row r="57" spans="1:29" s="12" customFormat="1" ht="24" customHeight="1">
      <c r="A57" s="67"/>
      <c r="B57" s="125" t="s">
        <v>761</v>
      </c>
      <c r="C57" s="126" t="s">
        <v>714</v>
      </c>
      <c r="D57" s="126">
        <v>128</v>
      </c>
      <c r="E57" s="126"/>
      <c r="F57" s="126">
        <v>3</v>
      </c>
      <c r="G57" s="78"/>
      <c r="H57" s="89" t="str">
        <f t="shared" si="6"/>
        <v>地区外より公共残土</v>
      </c>
      <c r="I57" s="90" t="str">
        <f t="shared" si="8"/>
        <v>支道18B1</v>
      </c>
      <c r="J57" s="91">
        <f t="shared" si="17"/>
      </c>
      <c r="K57" s="92">
        <f t="shared" si="18"/>
      </c>
      <c r="L57" s="92">
        <f t="shared" si="19"/>
      </c>
      <c r="M57" s="92">
        <f t="shared" si="20"/>
      </c>
      <c r="N57" s="92">
        <f t="shared" si="21"/>
      </c>
      <c r="O57" s="92">
        <f t="shared" si="22"/>
      </c>
      <c r="P57" s="92">
        <f t="shared" si="31"/>
      </c>
      <c r="Q57" s="92">
        <f t="shared" si="29"/>
      </c>
      <c r="R57" s="92">
        <f t="shared" si="30"/>
      </c>
      <c r="S57" s="92">
        <f t="shared" si="25"/>
      </c>
      <c r="T57" s="92">
        <f t="shared" si="26"/>
      </c>
      <c r="U57" s="92">
        <f t="shared" si="27"/>
      </c>
      <c r="V57" s="92">
        <f t="shared" si="28"/>
        <v>128</v>
      </c>
      <c r="W57" s="94"/>
      <c r="X57" s="68"/>
      <c r="Y57" s="99"/>
      <c r="Z57" s="100"/>
      <c r="AA57" s="82"/>
      <c r="AB57" s="72">
        <f t="shared" si="4"/>
        <v>0</v>
      </c>
      <c r="AC57" s="72">
        <f t="shared" si="5"/>
      </c>
    </row>
    <row r="58" spans="1:29" s="12" customFormat="1" ht="24" customHeight="1">
      <c r="A58" s="67"/>
      <c r="B58" s="125"/>
      <c r="C58" s="126"/>
      <c r="D58" s="126"/>
      <c r="E58" s="126"/>
      <c r="F58" s="126"/>
      <c r="G58" s="78"/>
      <c r="H58" s="89">
        <f t="shared" si="6"/>
      </c>
      <c r="I58" s="90">
        <f t="shared" si="8"/>
      </c>
      <c r="J58" s="91">
        <f t="shared" si="17"/>
      </c>
      <c r="K58" s="92">
        <f t="shared" si="18"/>
      </c>
      <c r="L58" s="92">
        <f t="shared" si="19"/>
      </c>
      <c r="M58" s="92">
        <f t="shared" si="20"/>
      </c>
      <c r="N58" s="92">
        <f t="shared" si="21"/>
      </c>
      <c r="O58" s="92">
        <f t="shared" si="22"/>
      </c>
      <c r="P58" s="92">
        <f t="shared" si="31"/>
      </c>
      <c r="Q58" s="92">
        <f t="shared" si="29"/>
      </c>
      <c r="R58" s="92">
        <f t="shared" si="30"/>
      </c>
      <c r="S58" s="92">
        <f t="shared" si="25"/>
      </c>
      <c r="T58" s="92">
        <f t="shared" si="26"/>
      </c>
      <c r="U58" s="92">
        <f t="shared" si="27"/>
      </c>
      <c r="V58" s="92">
        <f t="shared" si="28"/>
      </c>
      <c r="W58" s="94"/>
      <c r="X58" s="68"/>
      <c r="Y58" s="99"/>
      <c r="Z58" s="100"/>
      <c r="AA58" s="82"/>
      <c r="AB58" s="72">
        <f t="shared" si="4"/>
      </c>
      <c r="AC58" s="72">
        <f t="shared" si="5"/>
      </c>
    </row>
    <row r="59" spans="1:29" s="12" customFormat="1" ht="24" customHeight="1">
      <c r="A59" s="67"/>
      <c r="B59" s="125"/>
      <c r="C59" s="126"/>
      <c r="D59" s="126"/>
      <c r="E59" s="126"/>
      <c r="F59" s="126"/>
      <c r="G59" s="78"/>
      <c r="H59" s="89">
        <f t="shared" si="6"/>
      </c>
      <c r="I59" s="90">
        <f t="shared" si="8"/>
      </c>
      <c r="J59" s="91">
        <f t="shared" si="17"/>
      </c>
      <c r="K59" s="92">
        <f t="shared" si="18"/>
      </c>
      <c r="L59" s="92">
        <f t="shared" si="19"/>
      </c>
      <c r="M59" s="92">
        <f t="shared" si="20"/>
      </c>
      <c r="N59" s="92">
        <f t="shared" si="21"/>
      </c>
      <c r="O59" s="92">
        <f t="shared" si="22"/>
      </c>
      <c r="P59" s="92">
        <f t="shared" si="31"/>
      </c>
      <c r="Q59" s="92">
        <f t="shared" si="29"/>
      </c>
      <c r="R59" s="92">
        <f t="shared" si="30"/>
      </c>
      <c r="S59" s="92">
        <f t="shared" si="25"/>
      </c>
      <c r="T59" s="92">
        <f t="shared" si="26"/>
      </c>
      <c r="U59" s="92">
        <f t="shared" si="27"/>
      </c>
      <c r="V59" s="92">
        <f t="shared" si="28"/>
      </c>
      <c r="W59" s="94"/>
      <c r="X59" s="68"/>
      <c r="Y59" s="99"/>
      <c r="Z59" s="100"/>
      <c r="AA59" s="82"/>
      <c r="AB59" s="72">
        <f t="shared" si="4"/>
      </c>
      <c r="AC59" s="72">
        <f t="shared" si="5"/>
      </c>
    </row>
    <row r="60" spans="1:29" s="12" customFormat="1" ht="24" customHeight="1">
      <c r="A60" s="67"/>
      <c r="B60" s="125"/>
      <c r="C60" s="126"/>
      <c r="D60" s="126"/>
      <c r="E60" s="126"/>
      <c r="F60" s="126"/>
      <c r="G60" s="78"/>
      <c r="H60" s="89">
        <f t="shared" si="6"/>
      </c>
      <c r="I60" s="90">
        <f t="shared" si="8"/>
      </c>
      <c r="J60" s="91">
        <f t="shared" si="17"/>
      </c>
      <c r="K60" s="92">
        <f t="shared" si="18"/>
      </c>
      <c r="L60" s="92">
        <f t="shared" si="19"/>
      </c>
      <c r="M60" s="92">
        <f t="shared" si="20"/>
      </c>
      <c r="N60" s="92">
        <f t="shared" si="21"/>
      </c>
      <c r="O60" s="92">
        <f t="shared" si="22"/>
      </c>
      <c r="P60" s="92">
        <f t="shared" si="31"/>
      </c>
      <c r="Q60" s="92">
        <f t="shared" si="29"/>
      </c>
      <c r="R60" s="92">
        <f t="shared" si="30"/>
      </c>
      <c r="S60" s="92">
        <f t="shared" si="25"/>
      </c>
      <c r="T60" s="92">
        <f t="shared" si="26"/>
      </c>
      <c r="U60" s="92">
        <f t="shared" si="27"/>
      </c>
      <c r="V60" s="92">
        <f t="shared" si="28"/>
      </c>
      <c r="W60" s="94"/>
      <c r="X60" s="68"/>
      <c r="Y60" s="99"/>
      <c r="Z60" s="100"/>
      <c r="AA60" s="82"/>
      <c r="AB60" s="72">
        <f t="shared" si="4"/>
      </c>
      <c r="AC60" s="72">
        <f t="shared" si="5"/>
      </c>
    </row>
    <row r="61" spans="1:29" s="12" customFormat="1" ht="24" customHeight="1">
      <c r="A61" s="67"/>
      <c r="B61" s="125"/>
      <c r="C61" s="126"/>
      <c r="D61" s="126"/>
      <c r="E61" s="126"/>
      <c r="F61" s="126"/>
      <c r="G61" s="78"/>
      <c r="H61" s="89">
        <f t="shared" si="6"/>
      </c>
      <c r="I61" s="90">
        <f t="shared" si="8"/>
      </c>
      <c r="J61" s="91">
        <f t="shared" si="17"/>
      </c>
      <c r="K61" s="92">
        <f t="shared" si="18"/>
      </c>
      <c r="L61" s="92">
        <f t="shared" si="19"/>
      </c>
      <c r="M61" s="92">
        <f t="shared" si="20"/>
      </c>
      <c r="N61" s="92">
        <f t="shared" si="21"/>
      </c>
      <c r="O61" s="92">
        <f t="shared" si="22"/>
      </c>
      <c r="P61" s="92">
        <f t="shared" si="31"/>
      </c>
      <c r="Q61" s="92">
        <f t="shared" si="23"/>
      </c>
      <c r="R61" s="92">
        <f t="shared" si="24"/>
      </c>
      <c r="S61" s="92">
        <f t="shared" si="25"/>
      </c>
      <c r="T61" s="92">
        <f t="shared" si="26"/>
      </c>
      <c r="U61" s="92">
        <f t="shared" si="27"/>
      </c>
      <c r="V61" s="92">
        <f t="shared" si="28"/>
      </c>
      <c r="W61" s="94"/>
      <c r="X61" s="68"/>
      <c r="Y61" s="99"/>
      <c r="Z61" s="100"/>
      <c r="AA61" s="82"/>
      <c r="AB61" s="72">
        <f t="shared" si="4"/>
      </c>
      <c r="AC61" s="72">
        <f t="shared" si="5"/>
      </c>
    </row>
    <row r="62" spans="1:29" s="12" customFormat="1" ht="24" customHeight="1">
      <c r="A62" s="67"/>
      <c r="B62" s="125"/>
      <c r="C62" s="126"/>
      <c r="D62" s="126"/>
      <c r="E62" s="126"/>
      <c r="F62" s="126"/>
      <c r="G62" s="78"/>
      <c r="H62" s="89">
        <f t="shared" si="6"/>
      </c>
      <c r="I62" s="90">
        <f t="shared" si="8"/>
      </c>
      <c r="J62" s="91">
        <f t="shared" si="17"/>
      </c>
      <c r="K62" s="92">
        <f t="shared" si="18"/>
      </c>
      <c r="L62" s="92">
        <f t="shared" si="19"/>
      </c>
      <c r="M62" s="92">
        <f t="shared" si="20"/>
      </c>
      <c r="N62" s="92">
        <f t="shared" si="21"/>
      </c>
      <c r="O62" s="92">
        <f t="shared" si="22"/>
      </c>
      <c r="P62" s="92">
        <f t="shared" si="31"/>
      </c>
      <c r="Q62" s="92">
        <f t="shared" si="23"/>
      </c>
      <c r="R62" s="92">
        <f t="shared" si="24"/>
      </c>
      <c r="S62" s="92">
        <f t="shared" si="25"/>
      </c>
      <c r="T62" s="92">
        <f t="shared" si="26"/>
      </c>
      <c r="U62" s="92">
        <f t="shared" si="27"/>
      </c>
      <c r="V62" s="92">
        <f t="shared" si="28"/>
      </c>
      <c r="W62" s="94"/>
      <c r="X62" s="68"/>
      <c r="Y62" s="99"/>
      <c r="Z62" s="100"/>
      <c r="AA62" s="82"/>
      <c r="AB62" s="72">
        <f t="shared" si="4"/>
      </c>
      <c r="AC62" s="72">
        <f t="shared" si="5"/>
      </c>
    </row>
    <row r="63" spans="1:29" s="12" customFormat="1" ht="24" customHeight="1">
      <c r="A63" s="67"/>
      <c r="B63" s="125"/>
      <c r="C63" s="126"/>
      <c r="D63" s="126"/>
      <c r="E63" s="126"/>
      <c r="F63" s="126"/>
      <c r="G63" s="78"/>
      <c r="H63" s="89">
        <f t="shared" si="6"/>
      </c>
      <c r="I63" s="90">
        <f t="shared" si="8"/>
      </c>
      <c r="J63" s="91">
        <f t="shared" si="17"/>
      </c>
      <c r="K63" s="92">
        <f t="shared" si="18"/>
      </c>
      <c r="L63" s="92">
        <f t="shared" si="19"/>
      </c>
      <c r="M63" s="92">
        <f t="shared" si="20"/>
      </c>
      <c r="N63" s="92">
        <f t="shared" si="21"/>
      </c>
      <c r="O63" s="92">
        <f t="shared" si="22"/>
      </c>
      <c r="P63" s="92">
        <f t="shared" si="31"/>
      </c>
      <c r="Q63" s="92">
        <f t="shared" si="23"/>
      </c>
      <c r="R63" s="92">
        <f t="shared" si="24"/>
      </c>
      <c r="S63" s="92">
        <f t="shared" si="25"/>
      </c>
      <c r="T63" s="92">
        <f t="shared" si="26"/>
      </c>
      <c r="U63" s="92">
        <f t="shared" si="27"/>
      </c>
      <c r="V63" s="92">
        <f t="shared" si="28"/>
      </c>
      <c r="W63" s="94"/>
      <c r="X63" s="68"/>
      <c r="Y63" s="99"/>
      <c r="Z63" s="100"/>
      <c r="AA63" s="82"/>
      <c r="AB63" s="72">
        <f t="shared" si="4"/>
      </c>
      <c r="AC63" s="72">
        <f t="shared" si="5"/>
      </c>
    </row>
    <row r="64" spans="1:29" s="12" customFormat="1" ht="24" customHeight="1">
      <c r="A64" s="67"/>
      <c r="B64" s="125"/>
      <c r="C64" s="126"/>
      <c r="D64" s="126"/>
      <c r="E64" s="126"/>
      <c r="F64" s="126"/>
      <c r="G64" s="78"/>
      <c r="H64" s="89">
        <f t="shared" si="6"/>
      </c>
      <c r="I64" s="90">
        <f t="shared" si="8"/>
      </c>
      <c r="J64" s="91">
        <f t="shared" si="17"/>
      </c>
      <c r="K64" s="92">
        <f t="shared" si="18"/>
      </c>
      <c r="L64" s="92">
        <f t="shared" si="19"/>
      </c>
      <c r="M64" s="92">
        <f t="shared" si="20"/>
      </c>
      <c r="N64" s="92">
        <f t="shared" si="21"/>
      </c>
      <c r="O64" s="92">
        <f t="shared" si="22"/>
      </c>
      <c r="P64" s="92">
        <f t="shared" si="31"/>
      </c>
      <c r="Q64" s="92">
        <f t="shared" si="23"/>
      </c>
      <c r="R64" s="92">
        <f t="shared" si="24"/>
      </c>
      <c r="S64" s="92">
        <f t="shared" si="25"/>
      </c>
      <c r="T64" s="92">
        <f t="shared" si="26"/>
      </c>
      <c r="U64" s="92">
        <f t="shared" si="27"/>
      </c>
      <c r="V64" s="92">
        <f t="shared" si="28"/>
      </c>
      <c r="W64" s="94"/>
      <c r="X64" s="68"/>
      <c r="Y64" s="99"/>
      <c r="Z64" s="100"/>
      <c r="AA64" s="82"/>
      <c r="AB64" s="72">
        <f t="shared" si="4"/>
      </c>
      <c r="AC64" s="72">
        <f t="shared" si="5"/>
      </c>
    </row>
    <row r="65" spans="1:29" s="12" customFormat="1" ht="24" customHeight="1">
      <c r="A65" s="67"/>
      <c r="B65" s="125"/>
      <c r="C65" s="126"/>
      <c r="D65" s="126"/>
      <c r="E65" s="126"/>
      <c r="F65" s="126"/>
      <c r="G65" s="78"/>
      <c r="H65" s="89">
        <f t="shared" si="6"/>
      </c>
      <c r="I65" s="90">
        <f t="shared" si="8"/>
      </c>
      <c r="J65" s="91">
        <f t="shared" si="17"/>
      </c>
      <c r="K65" s="92">
        <f t="shared" si="18"/>
      </c>
      <c r="L65" s="92">
        <f t="shared" si="19"/>
      </c>
      <c r="M65" s="92">
        <f t="shared" si="20"/>
      </c>
      <c r="N65" s="92">
        <f t="shared" si="21"/>
      </c>
      <c r="O65" s="92">
        <f t="shared" si="22"/>
      </c>
      <c r="P65" s="92">
        <f t="shared" si="31"/>
      </c>
      <c r="Q65" s="92">
        <f t="shared" si="23"/>
      </c>
      <c r="R65" s="92">
        <f t="shared" si="24"/>
      </c>
      <c r="S65" s="92">
        <f t="shared" si="25"/>
      </c>
      <c r="T65" s="92">
        <f t="shared" si="26"/>
      </c>
      <c r="U65" s="92">
        <f t="shared" si="27"/>
      </c>
      <c r="V65" s="92">
        <f t="shared" si="28"/>
      </c>
      <c r="W65" s="94"/>
      <c r="X65" s="68"/>
      <c r="Y65" s="99"/>
      <c r="Z65" s="100"/>
      <c r="AA65" s="82"/>
      <c r="AB65" s="72">
        <f t="shared" si="4"/>
      </c>
      <c r="AC65" s="72">
        <f t="shared" si="5"/>
      </c>
    </row>
    <row r="66" spans="1:29" s="12" customFormat="1" ht="24" customHeight="1">
      <c r="A66" s="67"/>
      <c r="B66" s="125"/>
      <c r="C66" s="126"/>
      <c r="D66" s="126"/>
      <c r="E66" s="126"/>
      <c r="F66" s="126"/>
      <c r="G66" s="78"/>
      <c r="H66" s="89">
        <f t="shared" si="6"/>
      </c>
      <c r="I66" s="90">
        <f t="shared" si="8"/>
      </c>
      <c r="J66" s="91">
        <f>IF(AND(($F66=1),($E66&lt;40)),$D66,"")</f>
      </c>
      <c r="K66" s="92">
        <f t="shared" si="18"/>
      </c>
      <c r="L66" s="92">
        <f t="shared" si="19"/>
      </c>
      <c r="M66" s="92">
        <f>IF(AND(($F66=1),(AND($E66&gt;=40,$E66&lt;=60))),$D66,"")</f>
      </c>
      <c r="N66" s="92">
        <f t="shared" si="21"/>
      </c>
      <c r="O66" s="92">
        <f t="shared" si="22"/>
      </c>
      <c r="P66" s="92">
        <f>IF(AND(($F66=1),(AND($E66&gt;60,$E66&lt;1000))),$D66,"")</f>
      </c>
      <c r="Q66" s="92">
        <f t="shared" si="23"/>
      </c>
      <c r="R66" s="92">
        <f t="shared" si="24"/>
      </c>
      <c r="S66" s="92">
        <f>IF((AND($F66=2,($E66&gt;60))),$D66,"")</f>
      </c>
      <c r="T66" s="92">
        <f t="shared" si="26"/>
      </c>
      <c r="U66" s="92">
        <f t="shared" si="27"/>
      </c>
      <c r="V66" s="92">
        <f>IF(($F66=3),$D66,"")</f>
      </c>
      <c r="W66" s="94"/>
      <c r="X66" s="68"/>
      <c r="Y66" s="99"/>
      <c r="Z66" s="100"/>
      <c r="AA66" s="82"/>
      <c r="AB66" s="72">
        <f t="shared" si="4"/>
      </c>
      <c r="AC66" s="72">
        <f t="shared" si="5"/>
      </c>
    </row>
    <row r="67" spans="1:29" s="12" customFormat="1" ht="24" customHeight="1">
      <c r="A67" s="67"/>
      <c r="B67" s="125"/>
      <c r="C67" s="126"/>
      <c r="D67" s="126"/>
      <c r="E67" s="126"/>
      <c r="F67" s="126"/>
      <c r="G67" s="78"/>
      <c r="H67" s="89">
        <f t="shared" si="6"/>
      </c>
      <c r="I67" s="90">
        <f t="shared" si="8"/>
      </c>
      <c r="J67" s="91">
        <f t="shared" si="17"/>
      </c>
      <c r="K67" s="92">
        <f t="shared" si="18"/>
      </c>
      <c r="L67" s="92">
        <f t="shared" si="19"/>
      </c>
      <c r="M67" s="92">
        <f t="shared" si="20"/>
      </c>
      <c r="N67" s="92">
        <f t="shared" si="21"/>
      </c>
      <c r="O67" s="92">
        <f t="shared" si="22"/>
      </c>
      <c r="P67" s="92">
        <f t="shared" si="31"/>
      </c>
      <c r="Q67" s="92">
        <f t="shared" si="23"/>
      </c>
      <c r="R67" s="92">
        <f t="shared" si="24"/>
      </c>
      <c r="S67" s="92">
        <f t="shared" si="25"/>
      </c>
      <c r="T67" s="92">
        <f t="shared" si="26"/>
      </c>
      <c r="U67" s="92">
        <f t="shared" si="27"/>
      </c>
      <c r="V67" s="92">
        <f t="shared" si="28"/>
      </c>
      <c r="W67" s="1809" t="s">
        <v>762</v>
      </c>
      <c r="X67" s="1810"/>
      <c r="Y67" s="1810"/>
      <c r="Z67" s="1811"/>
      <c r="AA67" s="82"/>
      <c r="AB67" s="72">
        <f t="shared" si="4"/>
      </c>
      <c r="AC67" s="72">
        <f t="shared" si="5"/>
      </c>
    </row>
    <row r="68" spans="1:29" s="12" customFormat="1" ht="24" customHeight="1">
      <c r="A68" s="67"/>
      <c r="B68" s="125"/>
      <c r="C68" s="126"/>
      <c r="D68" s="126"/>
      <c r="E68" s="126"/>
      <c r="F68" s="126"/>
      <c r="G68" s="78"/>
      <c r="H68" s="89">
        <f t="shared" si="6"/>
      </c>
      <c r="I68" s="90">
        <f t="shared" si="8"/>
      </c>
      <c r="J68" s="91">
        <f t="shared" si="17"/>
      </c>
      <c r="K68" s="92">
        <f t="shared" si="18"/>
      </c>
      <c r="L68" s="92">
        <f t="shared" si="19"/>
      </c>
      <c r="M68" s="92">
        <f t="shared" si="20"/>
      </c>
      <c r="N68" s="92">
        <f t="shared" si="21"/>
      </c>
      <c r="O68" s="92">
        <f t="shared" si="22"/>
      </c>
      <c r="P68" s="92">
        <f t="shared" si="31"/>
      </c>
      <c r="Q68" s="92">
        <f t="shared" si="23"/>
      </c>
      <c r="R68" s="92">
        <f t="shared" si="24"/>
      </c>
      <c r="S68" s="92">
        <f t="shared" si="25"/>
      </c>
      <c r="T68" s="92">
        <f t="shared" si="26"/>
      </c>
      <c r="U68" s="92">
        <f t="shared" si="27"/>
      </c>
      <c r="V68" s="92">
        <f t="shared" si="28"/>
      </c>
      <c r="W68" s="1809" t="s">
        <v>760</v>
      </c>
      <c r="X68" s="1810"/>
      <c r="Y68" s="1810"/>
      <c r="Z68" s="1811"/>
      <c r="AA68" s="82"/>
      <c r="AB68" s="72">
        <f t="shared" si="4"/>
      </c>
      <c r="AC68" s="72">
        <f t="shared" si="5"/>
      </c>
    </row>
    <row r="69" spans="1:29" s="12" customFormat="1" ht="24" customHeight="1">
      <c r="A69" s="67"/>
      <c r="B69" s="125"/>
      <c r="C69" s="125"/>
      <c r="D69" s="125"/>
      <c r="E69" s="125"/>
      <c r="F69" s="125"/>
      <c r="G69" s="78"/>
      <c r="H69" s="89">
        <f t="shared" si="6"/>
      </c>
      <c r="I69" s="90">
        <f t="shared" si="8"/>
      </c>
      <c r="J69" s="91">
        <f t="shared" si="17"/>
      </c>
      <c r="K69" s="92">
        <f t="shared" si="18"/>
      </c>
      <c r="L69" s="92">
        <f t="shared" si="19"/>
      </c>
      <c r="M69" s="92">
        <f t="shared" si="20"/>
      </c>
      <c r="N69" s="92">
        <f t="shared" si="21"/>
      </c>
      <c r="O69" s="92">
        <f t="shared" si="22"/>
      </c>
      <c r="P69" s="92">
        <f t="shared" si="31"/>
      </c>
      <c r="Q69" s="92">
        <f t="shared" si="23"/>
      </c>
      <c r="R69" s="92">
        <f t="shared" si="24"/>
      </c>
      <c r="S69" s="92">
        <f t="shared" si="25"/>
      </c>
      <c r="T69" s="92">
        <f t="shared" si="26"/>
      </c>
      <c r="U69" s="92">
        <f t="shared" si="27"/>
      </c>
      <c r="V69" s="92">
        <f t="shared" si="28"/>
      </c>
      <c r="W69" s="1812">
        <f>SUMIF($H$9:$V$70,W68,$V$9:$V$70)</f>
        <v>3304</v>
      </c>
      <c r="X69" s="1813"/>
      <c r="Y69" s="1813"/>
      <c r="Z69" s="1814"/>
      <c r="AA69" s="82"/>
      <c r="AB69" s="72">
        <f t="shared" si="4"/>
      </c>
      <c r="AC69" s="72">
        <f t="shared" si="5"/>
      </c>
    </row>
    <row r="70" spans="1:29" s="12" customFormat="1" ht="24" customHeight="1">
      <c r="A70" s="67"/>
      <c r="B70" s="125"/>
      <c r="C70" s="125"/>
      <c r="D70" s="125" t="s">
        <v>101</v>
      </c>
      <c r="E70" s="125" t="s">
        <v>101</v>
      </c>
      <c r="F70" s="125" t="s">
        <v>101</v>
      </c>
      <c r="G70" s="78"/>
      <c r="H70" s="89">
        <f t="shared" si="6"/>
      </c>
      <c r="I70" s="90">
        <f t="shared" si="8"/>
      </c>
      <c r="J70" s="91">
        <f t="shared" si="17"/>
      </c>
      <c r="K70" s="92">
        <f>IF(J70=0,"",$E70)</f>
      </c>
      <c r="L70" s="92">
        <f t="shared" si="19"/>
      </c>
      <c r="M70" s="92">
        <f t="shared" si="20"/>
      </c>
      <c r="N70" s="92">
        <f>IF(M70=0,"",$E70)</f>
      </c>
      <c r="O70" s="92">
        <f t="shared" si="22"/>
      </c>
      <c r="P70" s="92">
        <f t="shared" si="31"/>
      </c>
      <c r="Q70" s="92">
        <f>IF(P70=0,"",$E70)</f>
      </c>
      <c r="R70" s="92">
        <f t="shared" si="24"/>
      </c>
      <c r="S70" s="92">
        <f t="shared" si="25"/>
      </c>
      <c r="T70" s="92">
        <f>IF(S70=0,"",$E70)</f>
      </c>
      <c r="U70" s="92">
        <f t="shared" si="27"/>
      </c>
      <c r="V70" s="92">
        <f>IF(($F70=3),$D70,"")</f>
      </c>
      <c r="W70" s="1809" t="s">
        <v>761</v>
      </c>
      <c r="X70" s="1810"/>
      <c r="Y70" s="1810"/>
      <c r="Z70" s="1811"/>
      <c r="AA70" s="82"/>
      <c r="AB70" s="72">
        <f t="shared" si="4"/>
      </c>
      <c r="AC70" s="72">
        <f t="shared" si="5"/>
      </c>
    </row>
    <row r="71" spans="1:29" s="12" customFormat="1" ht="24" customHeight="1">
      <c r="A71" s="67"/>
      <c r="B71" s="72"/>
      <c r="C71" s="72"/>
      <c r="D71" s="72">
        <f>SUM(D9:D48)</f>
        <v>5673</v>
      </c>
      <c r="E71" s="72"/>
      <c r="F71" s="72"/>
      <c r="G71" s="72"/>
      <c r="H71" s="93" t="s">
        <v>4</v>
      </c>
      <c r="I71" s="90"/>
      <c r="J71" s="91">
        <f>IF(SUM(J9:J70)=0,"",SUM(J9:J70))</f>
        <v>642</v>
      </c>
      <c r="K71" s="92">
        <f>IF(J71*L71=0,"",L71/J71)</f>
        <v>23.34890965732087</v>
      </c>
      <c r="L71" s="92">
        <f>IF(SUM(L9:L70)=0,"",SUM(L9:L70))</f>
        <v>14990</v>
      </c>
      <c r="M71" s="92">
        <f>IF(SUM(M9:M70)=0,"",SUM(M9:M70))</f>
        <v>1828</v>
      </c>
      <c r="N71" s="92">
        <f>IF(M71*O71=0,"",O71/M71)</f>
        <v>44.66630196936543</v>
      </c>
      <c r="O71" s="92">
        <f>IF(SUM(O9:O70)=0,"",SUM(O9:O70))</f>
        <v>81650</v>
      </c>
      <c r="P71" s="92">
        <f>IF(SUM(P9:P70)=0,"",SUM(P9:P70))</f>
        <v>3203</v>
      </c>
      <c r="Q71" s="92">
        <f>IF(P71*R71=0,"",R71/P71)</f>
        <v>201.960661879488</v>
      </c>
      <c r="R71" s="565">
        <f>IF(SUM(R9:R70)=0,"",SUM(R9:R70))</f>
        <v>646880</v>
      </c>
      <c r="S71" s="92">
        <f>IF(SUM(S9:S70)=0,"",SUM(S9:S70))</f>
      </c>
      <c r="T71" s="92">
        <f>IF(S71*U71=0,"",U71/S71)</f>
      </c>
      <c r="U71" s="92">
        <f>IF(SUM(U9:U70)=0,"",SUM(U9:U70))</f>
      </c>
      <c r="V71" s="92">
        <f>IF(SUM(V9:V70)=0,"",SUM(V9:V70))</f>
        <v>4002</v>
      </c>
      <c r="W71" s="1812">
        <f>SUMIF($H$9:$V$70,W70,$V$9:$V$70)</f>
        <v>698</v>
      </c>
      <c r="X71" s="1813"/>
      <c r="Y71" s="1813"/>
      <c r="Z71" s="1814"/>
      <c r="AA71" s="82"/>
      <c r="AB71" s="72">
        <f>J71+M71+P71+V71</f>
        <v>9675</v>
      </c>
      <c r="AC71" s="72">
        <f>IF(SUM(AC9:AC70)=0,"",SUM(AC9:AC70))</f>
      </c>
    </row>
    <row r="72" spans="1:29" s="12" customFormat="1" ht="24" customHeight="1" thickBot="1">
      <c r="A72" s="67"/>
      <c r="B72" s="72"/>
      <c r="C72" s="72"/>
      <c r="D72" s="72">
        <f>SUM(D49:D70)</f>
        <v>4002</v>
      </c>
      <c r="E72" s="72"/>
      <c r="F72" s="72">
        <f>J71+M71</f>
        <v>2470</v>
      </c>
      <c r="G72" s="72"/>
      <c r="H72" s="95"/>
      <c r="I72" s="96"/>
      <c r="J72" s="1786" t="str">
        <f>IF(L72=0,""," ﾌﾞﾙﾄﾞｰｻﾞ  L=")</f>
        <v> ﾌﾞﾙﾄﾞｰｻﾞ  L=</v>
      </c>
      <c r="K72" s="1779"/>
      <c r="L72" s="108">
        <f>IF(K71=0,"",TRUNC((K71+5)/10)*10)</f>
        <v>20</v>
      </c>
      <c r="M72" s="1778" t="str">
        <f>IF(O72=0,"",IF(M71&lt;10000," ﾌﾞﾙﾄﾞｰｻﾞ  L=","ｽｸﾚｰﾌﾟﾄﾞｰｻﾞL="))</f>
        <v> ﾌﾞﾙﾄﾞｰｻﾞ  L=</v>
      </c>
      <c r="N72" s="1779"/>
      <c r="O72" s="108">
        <f>IF(N71=0,"",TRUNC((N71+5)/10)*10)</f>
        <v>40</v>
      </c>
      <c r="P72" s="1778" t="str">
        <f>IF(R72=0,"",IF(P71&lt;10000,"ﾀﾞﾝﾌﾟﾄﾗｯｸ L="," ｽｸﾚｰﾊﾟｰ  L="))</f>
        <v>ﾀﾞﾝﾌﾟﾄﾗｯｸ L=</v>
      </c>
      <c r="Q72" s="1779"/>
      <c r="R72" s="108">
        <f>IF(Q71=0,"",IF(Q71&lt;100,TRUNC((Q71+5)/10)*10,TRUNC((Q71+25)/50)*50))</f>
        <v>200</v>
      </c>
      <c r="S72" s="1778">
        <f>IF(U72=0,"","ﾀﾞﾝﾌﾟﾄﾗｯｸ L=")</f>
      </c>
      <c r="T72" s="1779"/>
      <c r="U72" s="108">
        <f>IF(T71=0,"",IF(T71&lt;300,TRUNC((T71+25)/50)*50,TRUNC((T71+50)/100)*100))</f>
      </c>
      <c r="V72" s="108"/>
      <c r="W72" s="109"/>
      <c r="X72" s="76"/>
      <c r="Y72" s="76"/>
      <c r="Z72" s="110"/>
      <c r="AA72" s="82"/>
      <c r="AB72" s="72"/>
      <c r="AC72" s="72"/>
    </row>
    <row r="73" spans="1:29" s="12" customFormat="1" ht="24" customHeight="1">
      <c r="A73" s="67"/>
      <c r="B73" s="72"/>
      <c r="C73" s="72"/>
      <c r="D73" s="72"/>
      <c r="E73" s="72"/>
      <c r="F73" s="72"/>
      <c r="G73" s="72"/>
      <c r="H73" s="80"/>
      <c r="I73" s="81"/>
      <c r="J73" s="111" t="s">
        <v>19</v>
      </c>
      <c r="K73" s="112" t="s">
        <v>14</v>
      </c>
      <c r="L73" s="78"/>
      <c r="M73" s="112" t="s">
        <v>19</v>
      </c>
      <c r="N73" s="112" t="s">
        <v>14</v>
      </c>
      <c r="O73" s="78"/>
      <c r="P73" s="112" t="s">
        <v>19</v>
      </c>
      <c r="Q73" s="112" t="s">
        <v>14</v>
      </c>
      <c r="R73" s="78"/>
      <c r="S73" s="112" t="s">
        <v>19</v>
      </c>
      <c r="T73" s="112" t="s">
        <v>14</v>
      </c>
      <c r="U73" s="78"/>
      <c r="V73" s="112" t="s">
        <v>13</v>
      </c>
      <c r="W73" s="1789" t="s">
        <v>110</v>
      </c>
      <c r="X73" s="1790"/>
      <c r="Y73" s="1790"/>
      <c r="Z73" s="1791"/>
      <c r="AA73" s="82"/>
      <c r="AB73" s="72"/>
      <c r="AC73" s="72"/>
    </row>
    <row r="74" spans="1:29" s="12" customFormat="1" ht="24" customHeight="1">
      <c r="A74" s="67"/>
      <c r="B74" s="72"/>
      <c r="C74" s="72"/>
      <c r="D74" s="72"/>
      <c r="E74" s="72"/>
      <c r="F74" s="72"/>
      <c r="G74" s="72"/>
      <c r="H74" s="85" t="s">
        <v>112</v>
      </c>
      <c r="I74" s="86" t="s">
        <v>114</v>
      </c>
      <c r="J74" s="93" t="s">
        <v>16</v>
      </c>
      <c r="K74" s="79" t="s">
        <v>17</v>
      </c>
      <c r="L74" s="79" t="s">
        <v>18</v>
      </c>
      <c r="M74" s="79" t="s">
        <v>16</v>
      </c>
      <c r="N74" s="79" t="s">
        <v>17</v>
      </c>
      <c r="O74" s="79" t="s">
        <v>18</v>
      </c>
      <c r="P74" s="79" t="s">
        <v>16</v>
      </c>
      <c r="Q74" s="79" t="s">
        <v>17</v>
      </c>
      <c r="R74" s="79" t="s">
        <v>18</v>
      </c>
      <c r="S74" s="79" t="s">
        <v>16</v>
      </c>
      <c r="T74" s="79" t="s">
        <v>17</v>
      </c>
      <c r="U74" s="79" t="s">
        <v>18</v>
      </c>
      <c r="V74" s="78"/>
      <c r="W74" s="1792"/>
      <c r="X74" s="1793"/>
      <c r="Y74" s="1793"/>
      <c r="Z74" s="1794"/>
      <c r="AA74" s="82"/>
      <c r="AB74" s="72"/>
      <c r="AC74" s="72"/>
    </row>
    <row r="75" spans="1:29" s="12" customFormat="1" ht="24" customHeight="1">
      <c r="A75" s="67"/>
      <c r="B75" s="72"/>
      <c r="C75" s="72"/>
      <c r="D75" s="72"/>
      <c r="E75" s="72"/>
      <c r="F75" s="72"/>
      <c r="G75" s="72"/>
      <c r="H75" s="85" t="s">
        <v>113</v>
      </c>
      <c r="I75" s="86" t="s">
        <v>115</v>
      </c>
      <c r="J75" s="1806" t="s">
        <v>121</v>
      </c>
      <c r="K75" s="1796"/>
      <c r="L75" s="1796"/>
      <c r="M75" s="1805" t="s">
        <v>122</v>
      </c>
      <c r="N75" s="1796"/>
      <c r="O75" s="1796"/>
      <c r="P75" s="1805" t="s">
        <v>123</v>
      </c>
      <c r="Q75" s="1796"/>
      <c r="R75" s="1796"/>
      <c r="S75" s="1805" t="s">
        <v>118</v>
      </c>
      <c r="T75" s="1796"/>
      <c r="U75" s="1796"/>
      <c r="V75" s="114" t="s">
        <v>449</v>
      </c>
      <c r="W75" s="1792"/>
      <c r="X75" s="1793"/>
      <c r="Y75" s="1793"/>
      <c r="Z75" s="1794"/>
      <c r="AA75" s="82"/>
      <c r="AB75" s="72"/>
      <c r="AC75" s="72"/>
    </row>
    <row r="76" spans="1:29" s="12" customFormat="1" ht="24" customHeight="1" thickBot="1">
      <c r="A76" s="67"/>
      <c r="B76" s="72"/>
      <c r="C76" s="72"/>
      <c r="D76" s="72"/>
      <c r="E76" s="72"/>
      <c r="F76" s="72"/>
      <c r="G76" s="72"/>
      <c r="H76" s="95"/>
      <c r="I76" s="96"/>
      <c r="J76" s="1815" t="s">
        <v>116</v>
      </c>
      <c r="K76" s="1800"/>
      <c r="L76" s="1800"/>
      <c r="M76" s="1800"/>
      <c r="N76" s="1800"/>
      <c r="O76" s="1800"/>
      <c r="P76" s="1800"/>
      <c r="Q76" s="1800"/>
      <c r="R76" s="1800"/>
      <c r="S76" s="1816" t="s">
        <v>117</v>
      </c>
      <c r="T76" s="1800"/>
      <c r="U76" s="1800"/>
      <c r="V76" s="97"/>
      <c r="W76" s="1799"/>
      <c r="X76" s="1800"/>
      <c r="Y76" s="1800"/>
      <c r="Z76" s="1801"/>
      <c r="AA76" s="82"/>
      <c r="AB76" s="72"/>
      <c r="AC76" s="72"/>
    </row>
    <row r="77" spans="1:29" ht="13.5">
      <c r="A77" s="9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</sheetData>
  <sheetProtection/>
  <mergeCells count="26">
    <mergeCell ref="M6:O6"/>
    <mergeCell ref="J72:K72"/>
    <mergeCell ref="J6:L6"/>
    <mergeCell ref="S76:U76"/>
    <mergeCell ref="M72:N72"/>
    <mergeCell ref="S75:U75"/>
    <mergeCell ref="B2:G3"/>
    <mergeCell ref="S72:T72"/>
    <mergeCell ref="M75:O75"/>
    <mergeCell ref="P6:R6"/>
    <mergeCell ref="S6:U6"/>
    <mergeCell ref="I2:X2"/>
    <mergeCell ref="S5:U5"/>
    <mergeCell ref="P75:R75"/>
    <mergeCell ref="W5:Z8"/>
    <mergeCell ref="W71:Z71"/>
    <mergeCell ref="S4:T4"/>
    <mergeCell ref="J75:L75"/>
    <mergeCell ref="W70:Z70"/>
    <mergeCell ref="W68:Z68"/>
    <mergeCell ref="W67:Z67"/>
    <mergeCell ref="W69:Z69"/>
    <mergeCell ref="P72:Q72"/>
    <mergeCell ref="W73:Z76"/>
    <mergeCell ref="J76:R76"/>
    <mergeCell ref="J5:R5"/>
  </mergeCells>
  <printOptions horizontalCentered="1" verticalCentered="1"/>
  <pageMargins left="0" right="0" top="0.5905511811023623" bottom="0.1968503937007874" header="0" footer="0"/>
  <pageSetup horizontalDpi="300" verticalDpi="300" orientation="portrait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Z75"/>
  <sheetViews>
    <sheetView showZeros="0" view="pageBreakPreview" zoomScale="60" zoomScaleNormal="80" zoomScalePageLayoutView="0" workbookViewId="0" topLeftCell="A1">
      <pane xSplit="2" ySplit="7" topLeftCell="C8" activePane="bottomRight" state="frozen"/>
      <selection pane="topLeft" activeCell="G6" sqref="G6"/>
      <selection pane="topRight" activeCell="G6" sqref="G6"/>
      <selection pane="bottomLeft" activeCell="G6" sqref="G6"/>
      <selection pane="bottomRight" activeCell="C1" sqref="C1"/>
    </sheetView>
  </sheetViews>
  <sheetFormatPr defaultColWidth="8.625" defaultRowHeight="13.5"/>
  <cols>
    <col min="1" max="1" width="3.625" style="962" customWidth="1"/>
    <col min="2" max="2" width="10.625" style="962" customWidth="1"/>
    <col min="3" max="3" width="6.875" style="962" customWidth="1"/>
    <col min="4" max="4" width="7.50390625" style="962" bestFit="1" customWidth="1"/>
    <col min="5" max="5" width="6.875" style="963" bestFit="1" customWidth="1"/>
    <col min="6" max="7" width="9.625" style="962" customWidth="1"/>
    <col min="8" max="8" width="10.625" style="962" customWidth="1"/>
    <col min="9" max="10" width="9.625" style="962" customWidth="1"/>
    <col min="11" max="11" width="11.125" style="962" customWidth="1"/>
    <col min="12" max="13" width="9.625" style="962" customWidth="1"/>
    <col min="14" max="14" width="10.875" style="962" customWidth="1"/>
    <col min="15" max="15" width="9.625" style="962" customWidth="1"/>
    <col min="16" max="16" width="10.25390625" style="962" customWidth="1"/>
    <col min="17" max="17" width="9.625" style="962" customWidth="1"/>
    <col min="18" max="18" width="11.125" style="962" bestFit="1" customWidth="1"/>
    <col min="19" max="19" width="10.25390625" style="962" customWidth="1"/>
    <col min="20" max="21" width="9.625" style="962" customWidth="1"/>
    <col min="22" max="22" width="13.125" style="964" customWidth="1"/>
    <col min="23" max="23" width="9.00390625" style="876" customWidth="1"/>
    <col min="24" max="24" width="4.625" style="876" customWidth="1"/>
    <col min="25" max="25" width="61.50390625" style="876" customWidth="1"/>
    <col min="26" max="26" width="9.875" style="876" bestFit="1" customWidth="1"/>
    <col min="27" max="16384" width="8.625" style="962" customWidth="1"/>
  </cols>
  <sheetData>
    <row r="1" spans="3:26" s="872" customFormat="1" ht="24" customHeight="1">
      <c r="C1" s="873" t="s">
        <v>132</v>
      </c>
      <c r="E1" s="874"/>
      <c r="V1" s="875"/>
      <c r="W1" s="876"/>
      <c r="X1" s="876"/>
      <c r="Y1" s="876"/>
      <c r="Z1" s="876"/>
    </row>
    <row r="2" spans="1:26" s="880" customFormat="1" ht="45" customHeight="1">
      <c r="A2" s="877"/>
      <c r="B2" s="1833" t="s">
        <v>528</v>
      </c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  <c r="O2" s="1833"/>
      <c r="P2" s="1833"/>
      <c r="Q2" s="1833"/>
      <c r="R2" s="1833"/>
      <c r="S2" s="1833"/>
      <c r="T2" s="1833"/>
      <c r="U2" s="1833"/>
      <c r="V2" s="1833"/>
      <c r="W2" s="878"/>
      <c r="X2" s="879"/>
      <c r="Y2" s="879"/>
      <c r="Z2" s="879"/>
    </row>
    <row r="3" spans="1:26" s="885" customFormat="1" ht="24" customHeight="1">
      <c r="A3" s="881"/>
      <c r="B3" s="881"/>
      <c r="C3" s="881"/>
      <c r="D3" s="881"/>
      <c r="E3" s="882"/>
      <c r="F3" s="881"/>
      <c r="G3" s="883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4"/>
      <c r="W3" s="878"/>
      <c r="X3" s="879"/>
      <c r="Y3" s="879"/>
      <c r="Z3" s="879"/>
    </row>
    <row r="4" spans="1:26" s="885" customFormat="1" ht="24" customHeight="1" thickBot="1">
      <c r="A4" s="881"/>
      <c r="B4" s="886"/>
      <c r="C4" s="887" t="s">
        <v>529</v>
      </c>
      <c r="D4" s="888"/>
      <c r="E4" s="889"/>
      <c r="F4" s="890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2"/>
      <c r="W4" s="878"/>
      <c r="X4" s="879"/>
      <c r="Y4" s="879"/>
      <c r="Z4" s="879"/>
    </row>
    <row r="5" spans="1:26" s="885" customFormat="1" ht="24" customHeight="1">
      <c r="A5" s="881"/>
      <c r="B5" s="893"/>
      <c r="C5" s="1834" t="s">
        <v>530</v>
      </c>
      <c r="D5" s="1835"/>
      <c r="E5" s="1835"/>
      <c r="F5" s="1835"/>
      <c r="G5" s="1835"/>
      <c r="H5" s="1835"/>
      <c r="I5" s="1836"/>
      <c r="J5" s="1837" t="s">
        <v>531</v>
      </c>
      <c r="K5" s="1838"/>
      <c r="L5" s="1839"/>
      <c r="M5" s="1840" t="s">
        <v>532</v>
      </c>
      <c r="N5" s="1838"/>
      <c r="O5" s="1838"/>
      <c r="P5" s="1841" t="s">
        <v>533</v>
      </c>
      <c r="Q5" s="1842"/>
      <c r="R5" s="1843"/>
      <c r="S5" s="1841" t="s">
        <v>534</v>
      </c>
      <c r="T5" s="1842"/>
      <c r="U5" s="1843"/>
      <c r="V5" s="894"/>
      <c r="W5" s="895"/>
      <c r="X5" s="879"/>
      <c r="Y5" s="879"/>
      <c r="Z5" s="879"/>
    </row>
    <row r="6" spans="1:26" s="885" customFormat="1" ht="24" customHeight="1">
      <c r="A6" s="881"/>
      <c r="B6" s="1368" t="s">
        <v>0</v>
      </c>
      <c r="C6" s="1369" t="s">
        <v>535</v>
      </c>
      <c r="D6" s="1370" t="s">
        <v>536</v>
      </c>
      <c r="E6" s="1371" t="s">
        <v>537</v>
      </c>
      <c r="F6" s="1372" t="s">
        <v>538</v>
      </c>
      <c r="G6" s="1370" t="s">
        <v>539</v>
      </c>
      <c r="H6" s="1370" t="s">
        <v>540</v>
      </c>
      <c r="I6" s="1370" t="s">
        <v>541</v>
      </c>
      <c r="J6" s="1370" t="s">
        <v>542</v>
      </c>
      <c r="K6" s="1370" t="s">
        <v>543</v>
      </c>
      <c r="L6" s="1370" t="s">
        <v>541</v>
      </c>
      <c r="M6" s="1370" t="s">
        <v>542</v>
      </c>
      <c r="N6" s="1370" t="s">
        <v>543</v>
      </c>
      <c r="O6" s="1370" t="s">
        <v>541</v>
      </c>
      <c r="P6" s="1820" t="s">
        <v>544</v>
      </c>
      <c r="Q6" s="1821"/>
      <c r="R6" s="1373" t="s">
        <v>545</v>
      </c>
      <c r="S6" s="1820" t="s">
        <v>546</v>
      </c>
      <c r="T6" s="1821"/>
      <c r="U6" s="1374"/>
      <c r="V6" s="900" t="s">
        <v>2</v>
      </c>
      <c r="W6" s="895"/>
      <c r="X6" s="879"/>
      <c r="Y6" s="879"/>
      <c r="Z6" s="879"/>
    </row>
    <row r="7" spans="1:26" s="885" customFormat="1" ht="24" customHeight="1" thickBot="1">
      <c r="A7" s="881"/>
      <c r="B7" s="901"/>
      <c r="C7" s="1375" t="s">
        <v>14</v>
      </c>
      <c r="D7" s="1376" t="s">
        <v>14</v>
      </c>
      <c r="E7" s="1377" t="s">
        <v>14</v>
      </c>
      <c r="F7" s="1378" t="s">
        <v>547</v>
      </c>
      <c r="G7" s="1376" t="s">
        <v>547</v>
      </c>
      <c r="H7" s="1376" t="s">
        <v>547</v>
      </c>
      <c r="I7" s="1376" t="s">
        <v>547</v>
      </c>
      <c r="J7" s="1376" t="s">
        <v>13</v>
      </c>
      <c r="K7" s="1376" t="s">
        <v>13</v>
      </c>
      <c r="L7" s="1376" t="s">
        <v>13</v>
      </c>
      <c r="M7" s="1376" t="s">
        <v>13</v>
      </c>
      <c r="N7" s="1376" t="s">
        <v>13</v>
      </c>
      <c r="O7" s="1376" t="s">
        <v>13</v>
      </c>
      <c r="P7" s="1379" t="s">
        <v>547</v>
      </c>
      <c r="Q7" s="1380" t="s">
        <v>548</v>
      </c>
      <c r="R7" s="1381" t="s">
        <v>549</v>
      </c>
      <c r="S7" s="1379" t="s">
        <v>547</v>
      </c>
      <c r="T7" s="1380" t="s">
        <v>548</v>
      </c>
      <c r="U7" s="1381"/>
      <c r="V7" s="902"/>
      <c r="W7" s="895"/>
      <c r="X7" s="879"/>
      <c r="Y7" s="903" t="s">
        <v>550</v>
      </c>
      <c r="Z7" s="879"/>
    </row>
    <row r="8" spans="1:26" s="915" customFormat="1" ht="24" customHeight="1">
      <c r="A8" s="904"/>
      <c r="B8" s="763"/>
      <c r="C8" s="905"/>
      <c r="D8" s="906"/>
      <c r="E8" s="907"/>
      <c r="F8" s="908"/>
      <c r="G8" s="906"/>
      <c r="H8" s="909"/>
      <c r="I8" s="909">
        <f aca="true" t="shared" si="0" ref="I8:I25">SUM(F8:H8)</f>
        <v>0</v>
      </c>
      <c r="J8" s="909"/>
      <c r="K8" s="909"/>
      <c r="L8" s="909">
        <f aca="true" t="shared" si="1" ref="L8:L25">SUM(J8:K8)</f>
        <v>0</v>
      </c>
      <c r="M8" s="909"/>
      <c r="N8" s="909"/>
      <c r="O8" s="909">
        <f aca="true" t="shared" si="2" ref="O8:O25">SUM(M8:N8)</f>
        <v>0</v>
      </c>
      <c r="P8" s="909"/>
      <c r="Q8" s="909"/>
      <c r="R8" s="910"/>
      <c r="S8" s="909"/>
      <c r="T8" s="909"/>
      <c r="U8" s="910"/>
      <c r="V8" s="911"/>
      <c r="W8" s="912"/>
      <c r="X8" s="913" t="s">
        <v>551</v>
      </c>
      <c r="Y8" s="913"/>
      <c r="Z8" s="914"/>
    </row>
    <row r="9" spans="1:26" s="915" customFormat="1" ht="24" customHeight="1">
      <c r="A9" s="904"/>
      <c r="B9" s="763"/>
      <c r="C9" s="905"/>
      <c r="D9" s="906"/>
      <c r="E9" s="907"/>
      <c r="F9" s="916"/>
      <c r="G9" s="906"/>
      <c r="H9" s="909"/>
      <c r="I9" s="909">
        <f t="shared" si="0"/>
        <v>0</v>
      </c>
      <c r="J9" s="909"/>
      <c r="K9" s="909"/>
      <c r="L9" s="909">
        <f t="shared" si="1"/>
        <v>0</v>
      </c>
      <c r="M9" s="909"/>
      <c r="N9" s="909"/>
      <c r="O9" s="909">
        <f t="shared" si="2"/>
        <v>0</v>
      </c>
      <c r="P9" s="909"/>
      <c r="Q9" s="909"/>
      <c r="R9" s="910"/>
      <c r="S9" s="909"/>
      <c r="T9" s="909"/>
      <c r="U9" s="910"/>
      <c r="V9" s="917"/>
      <c r="W9" s="912"/>
      <c r="X9" s="913" t="s">
        <v>551</v>
      </c>
      <c r="Y9" s="913"/>
      <c r="Z9" s="914"/>
    </row>
    <row r="10" spans="1:26" s="915" customFormat="1" ht="24" customHeight="1">
      <c r="A10" s="904"/>
      <c r="B10" s="763"/>
      <c r="C10" s="905"/>
      <c r="D10" s="906"/>
      <c r="E10" s="907"/>
      <c r="F10" s="918"/>
      <c r="G10" s="906"/>
      <c r="H10" s="909"/>
      <c r="I10" s="909">
        <f t="shared" si="0"/>
        <v>0</v>
      </c>
      <c r="J10" s="909"/>
      <c r="K10" s="909"/>
      <c r="L10" s="909">
        <f t="shared" si="1"/>
        <v>0</v>
      </c>
      <c r="M10" s="909"/>
      <c r="N10" s="909"/>
      <c r="O10" s="909">
        <f t="shared" si="2"/>
        <v>0</v>
      </c>
      <c r="P10" s="909"/>
      <c r="Q10" s="909"/>
      <c r="R10" s="910"/>
      <c r="S10" s="909"/>
      <c r="T10" s="909"/>
      <c r="U10" s="910"/>
      <c r="V10" s="917"/>
      <c r="W10" s="912"/>
      <c r="X10" s="913" t="s">
        <v>551</v>
      </c>
      <c r="Y10" s="913"/>
      <c r="Z10" s="914"/>
    </row>
    <row r="11" spans="1:26" s="915" customFormat="1" ht="24" customHeight="1">
      <c r="A11" s="904"/>
      <c r="B11" s="763"/>
      <c r="C11" s="905"/>
      <c r="D11" s="906"/>
      <c r="E11" s="907"/>
      <c r="F11" s="908"/>
      <c r="G11" s="906"/>
      <c r="H11" s="909"/>
      <c r="I11" s="909">
        <f t="shared" si="0"/>
        <v>0</v>
      </c>
      <c r="J11" s="909"/>
      <c r="K11" s="909"/>
      <c r="L11" s="909">
        <f t="shared" si="1"/>
        <v>0</v>
      </c>
      <c r="M11" s="909"/>
      <c r="N11" s="909"/>
      <c r="O11" s="909">
        <f t="shared" si="2"/>
        <v>0</v>
      </c>
      <c r="P11" s="909"/>
      <c r="Q11" s="909"/>
      <c r="R11" s="910"/>
      <c r="S11" s="909"/>
      <c r="T11" s="909"/>
      <c r="U11" s="910"/>
      <c r="V11" s="917"/>
      <c r="W11" s="912"/>
      <c r="X11" s="913" t="s">
        <v>551</v>
      </c>
      <c r="Y11" s="913"/>
      <c r="Z11" s="914"/>
    </row>
    <row r="12" spans="1:26" s="915" customFormat="1" ht="24" customHeight="1">
      <c r="A12" s="904"/>
      <c r="B12" s="763"/>
      <c r="C12" s="905"/>
      <c r="D12" s="906"/>
      <c r="E12" s="907"/>
      <c r="F12" s="908"/>
      <c r="G12" s="906"/>
      <c r="H12" s="909"/>
      <c r="I12" s="909">
        <f t="shared" si="0"/>
        <v>0</v>
      </c>
      <c r="J12" s="909"/>
      <c r="K12" s="909"/>
      <c r="L12" s="909">
        <f t="shared" si="1"/>
        <v>0</v>
      </c>
      <c r="M12" s="909"/>
      <c r="N12" s="909"/>
      <c r="O12" s="909">
        <f t="shared" si="2"/>
        <v>0</v>
      </c>
      <c r="P12" s="909"/>
      <c r="Q12" s="909"/>
      <c r="R12" s="910"/>
      <c r="S12" s="909"/>
      <c r="T12" s="909"/>
      <c r="U12" s="910"/>
      <c r="V12" s="917"/>
      <c r="W12" s="912"/>
      <c r="X12" s="913" t="s">
        <v>551</v>
      </c>
      <c r="Y12" s="913"/>
      <c r="Z12" s="914"/>
    </row>
    <row r="13" spans="1:26" s="915" customFormat="1" ht="24" customHeight="1">
      <c r="A13" s="904"/>
      <c r="B13" s="763"/>
      <c r="C13" s="905"/>
      <c r="D13" s="906"/>
      <c r="E13" s="907"/>
      <c r="F13" s="919"/>
      <c r="G13" s="906"/>
      <c r="H13" s="909"/>
      <c r="I13" s="909">
        <f t="shared" si="0"/>
        <v>0</v>
      </c>
      <c r="J13" s="909"/>
      <c r="K13" s="909"/>
      <c r="L13" s="909">
        <f t="shared" si="1"/>
        <v>0</v>
      </c>
      <c r="M13" s="909"/>
      <c r="N13" s="909"/>
      <c r="O13" s="909">
        <f t="shared" si="2"/>
        <v>0</v>
      </c>
      <c r="P13" s="909"/>
      <c r="Q13" s="909"/>
      <c r="R13" s="910"/>
      <c r="S13" s="920"/>
      <c r="T13" s="909"/>
      <c r="U13" s="910"/>
      <c r="V13" s="917"/>
      <c r="W13" s="912"/>
      <c r="X13" s="913" t="s">
        <v>551</v>
      </c>
      <c r="Y13" s="913"/>
      <c r="Z13" s="914"/>
    </row>
    <row r="14" spans="1:26" s="915" customFormat="1" ht="24" customHeight="1">
      <c r="A14" s="904"/>
      <c r="B14" s="763"/>
      <c r="C14" s="905"/>
      <c r="D14" s="906"/>
      <c r="E14" s="907"/>
      <c r="F14" s="918"/>
      <c r="G14" s="906"/>
      <c r="H14" s="909"/>
      <c r="I14" s="909">
        <f t="shared" si="0"/>
        <v>0</v>
      </c>
      <c r="J14" s="909"/>
      <c r="K14" s="909"/>
      <c r="L14" s="909">
        <f t="shared" si="1"/>
        <v>0</v>
      </c>
      <c r="M14" s="909"/>
      <c r="N14" s="909"/>
      <c r="O14" s="909">
        <f t="shared" si="2"/>
        <v>0</v>
      </c>
      <c r="P14" s="909"/>
      <c r="Q14" s="909"/>
      <c r="R14" s="910"/>
      <c r="S14" s="909"/>
      <c r="T14" s="909"/>
      <c r="U14" s="910"/>
      <c r="V14" s="917"/>
      <c r="W14" s="912"/>
      <c r="X14" s="913" t="s">
        <v>551</v>
      </c>
      <c r="Y14" s="913"/>
      <c r="Z14" s="914"/>
    </row>
    <row r="15" spans="1:26" s="915" customFormat="1" ht="24" customHeight="1">
      <c r="A15" s="904"/>
      <c r="B15" s="763"/>
      <c r="C15" s="905"/>
      <c r="D15" s="906"/>
      <c r="E15" s="907"/>
      <c r="F15" s="918"/>
      <c r="G15" s="906"/>
      <c r="H15" s="909"/>
      <c r="I15" s="909">
        <f t="shared" si="0"/>
        <v>0</v>
      </c>
      <c r="J15" s="909"/>
      <c r="K15" s="909"/>
      <c r="L15" s="909">
        <f t="shared" si="1"/>
        <v>0</v>
      </c>
      <c r="M15" s="909"/>
      <c r="N15" s="909"/>
      <c r="O15" s="909">
        <f t="shared" si="2"/>
        <v>0</v>
      </c>
      <c r="P15" s="921"/>
      <c r="Q15" s="909"/>
      <c r="R15" s="910"/>
      <c r="S15" s="920"/>
      <c r="T15" s="909"/>
      <c r="U15" s="910"/>
      <c r="V15" s="922"/>
      <c r="W15" s="912"/>
      <c r="X15" s="913" t="s">
        <v>552</v>
      </c>
      <c r="Y15" s="913"/>
      <c r="Z15" s="914"/>
    </row>
    <row r="16" spans="1:26" s="915" customFormat="1" ht="24" customHeight="1">
      <c r="A16" s="904"/>
      <c r="B16" s="763"/>
      <c r="C16" s="905"/>
      <c r="D16" s="906"/>
      <c r="E16" s="907"/>
      <c r="F16" s="918"/>
      <c r="G16" s="906"/>
      <c r="H16" s="909"/>
      <c r="I16" s="909">
        <f t="shared" si="0"/>
        <v>0</v>
      </c>
      <c r="J16" s="909"/>
      <c r="K16" s="909"/>
      <c r="L16" s="909">
        <f t="shared" si="1"/>
        <v>0</v>
      </c>
      <c r="M16" s="909"/>
      <c r="N16" s="909"/>
      <c r="O16" s="909">
        <f t="shared" si="2"/>
        <v>0</v>
      </c>
      <c r="P16" s="909"/>
      <c r="Q16" s="909"/>
      <c r="R16" s="910"/>
      <c r="S16" s="909"/>
      <c r="T16" s="909"/>
      <c r="U16" s="910"/>
      <c r="V16" s="917"/>
      <c r="W16" s="923"/>
      <c r="X16" s="913" t="s">
        <v>553</v>
      </c>
      <c r="Y16" s="913"/>
      <c r="Z16" s="914"/>
    </row>
    <row r="17" spans="1:26" s="915" customFormat="1" ht="24" customHeight="1">
      <c r="A17" s="904"/>
      <c r="B17" s="763"/>
      <c r="C17" s="924"/>
      <c r="D17" s="906"/>
      <c r="E17" s="907"/>
      <c r="F17" s="918"/>
      <c r="G17" s="906"/>
      <c r="H17" s="909"/>
      <c r="I17" s="909">
        <f t="shared" si="0"/>
        <v>0</v>
      </c>
      <c r="J17" s="909"/>
      <c r="K17" s="909"/>
      <c r="L17" s="909">
        <f t="shared" si="1"/>
        <v>0</v>
      </c>
      <c r="M17" s="909"/>
      <c r="N17" s="909"/>
      <c r="O17" s="909">
        <f t="shared" si="2"/>
        <v>0</v>
      </c>
      <c r="P17" s="909"/>
      <c r="Q17" s="909"/>
      <c r="R17" s="910"/>
      <c r="S17" s="909"/>
      <c r="T17" s="909"/>
      <c r="U17" s="910"/>
      <c r="V17" s="917"/>
      <c r="W17" s="923"/>
      <c r="X17" s="913" t="s">
        <v>553</v>
      </c>
      <c r="Y17" s="913"/>
      <c r="Z17" s="914"/>
    </row>
    <row r="18" spans="1:26" s="915" customFormat="1" ht="24" customHeight="1">
      <c r="A18" s="904"/>
      <c r="B18" s="763"/>
      <c r="C18" s="905"/>
      <c r="D18" s="906"/>
      <c r="E18" s="907"/>
      <c r="F18" s="918"/>
      <c r="G18" s="906"/>
      <c r="H18" s="909"/>
      <c r="I18" s="909">
        <f t="shared" si="0"/>
        <v>0</v>
      </c>
      <c r="J18" s="909"/>
      <c r="K18" s="909"/>
      <c r="L18" s="909">
        <f t="shared" si="1"/>
        <v>0</v>
      </c>
      <c r="M18" s="909"/>
      <c r="N18" s="909"/>
      <c r="O18" s="909">
        <f t="shared" si="2"/>
        <v>0</v>
      </c>
      <c r="P18" s="909"/>
      <c r="Q18" s="909"/>
      <c r="R18" s="910"/>
      <c r="S18" s="909"/>
      <c r="T18" s="909"/>
      <c r="U18" s="910"/>
      <c r="V18" s="917"/>
      <c r="W18" s="923"/>
      <c r="X18" s="913" t="s">
        <v>553</v>
      </c>
      <c r="Y18" s="913"/>
      <c r="Z18" s="914"/>
    </row>
    <row r="19" spans="1:26" s="915" customFormat="1" ht="24" customHeight="1">
      <c r="A19" s="904"/>
      <c r="B19" s="763"/>
      <c r="C19" s="924"/>
      <c r="D19" s="906"/>
      <c r="E19" s="907"/>
      <c r="F19" s="918"/>
      <c r="G19" s="906"/>
      <c r="H19" s="909"/>
      <c r="I19" s="909">
        <f t="shared" si="0"/>
        <v>0</v>
      </c>
      <c r="J19" s="909"/>
      <c r="K19" s="909"/>
      <c r="L19" s="909">
        <f t="shared" si="1"/>
        <v>0</v>
      </c>
      <c r="M19" s="909"/>
      <c r="N19" s="909"/>
      <c r="O19" s="909">
        <f t="shared" si="2"/>
        <v>0</v>
      </c>
      <c r="P19" s="909"/>
      <c r="Q19" s="909"/>
      <c r="R19" s="910"/>
      <c r="S19" s="909"/>
      <c r="T19" s="909"/>
      <c r="U19" s="910"/>
      <c r="V19" s="925"/>
      <c r="W19" s="912"/>
      <c r="X19" s="913"/>
      <c r="Y19" s="913"/>
      <c r="Z19" s="914"/>
    </row>
    <row r="20" spans="1:26" s="915" customFormat="1" ht="24" customHeight="1">
      <c r="A20" s="904"/>
      <c r="B20" s="763"/>
      <c r="C20" s="905"/>
      <c r="D20" s="906"/>
      <c r="E20" s="907"/>
      <c r="F20" s="918"/>
      <c r="G20" s="906"/>
      <c r="H20" s="909"/>
      <c r="I20" s="909">
        <f t="shared" si="0"/>
        <v>0</v>
      </c>
      <c r="J20" s="909"/>
      <c r="K20" s="909"/>
      <c r="L20" s="909">
        <f t="shared" si="1"/>
        <v>0</v>
      </c>
      <c r="M20" s="909"/>
      <c r="N20" s="909"/>
      <c r="O20" s="909">
        <f t="shared" si="2"/>
        <v>0</v>
      </c>
      <c r="P20" s="926"/>
      <c r="Q20" s="926"/>
      <c r="R20" s="927"/>
      <c r="S20" s="909"/>
      <c r="T20" s="909"/>
      <c r="U20" s="910"/>
      <c r="V20" s="917"/>
      <c r="W20" s="912"/>
      <c r="X20" s="913"/>
      <c r="Y20" s="913"/>
      <c r="Z20" s="914"/>
    </row>
    <row r="21" spans="1:26" s="915" customFormat="1" ht="24" customHeight="1">
      <c r="A21" s="904"/>
      <c r="B21" s="763"/>
      <c r="C21" s="905"/>
      <c r="D21" s="906"/>
      <c r="E21" s="907"/>
      <c r="F21" s="908"/>
      <c r="G21" s="906"/>
      <c r="H21" s="909"/>
      <c r="I21" s="909">
        <f t="shared" si="0"/>
        <v>0</v>
      </c>
      <c r="J21" s="909"/>
      <c r="K21" s="909"/>
      <c r="L21" s="909">
        <f t="shared" si="1"/>
        <v>0</v>
      </c>
      <c r="M21" s="909"/>
      <c r="N21" s="909"/>
      <c r="O21" s="909">
        <f t="shared" si="2"/>
        <v>0</v>
      </c>
      <c r="P21" s="909"/>
      <c r="Q21" s="909"/>
      <c r="R21" s="910"/>
      <c r="S21" s="909"/>
      <c r="T21" s="909"/>
      <c r="U21" s="910"/>
      <c r="V21" s="917"/>
      <c r="W21" s="912"/>
      <c r="X21" s="913"/>
      <c r="Y21" s="913"/>
      <c r="Z21" s="914"/>
    </row>
    <row r="22" spans="1:26" s="915" customFormat="1" ht="24" customHeight="1">
      <c r="A22" s="904"/>
      <c r="B22" s="763"/>
      <c r="C22" s="924"/>
      <c r="D22" s="906"/>
      <c r="E22" s="907"/>
      <c r="F22" s="918"/>
      <c r="G22" s="906"/>
      <c r="H22" s="909"/>
      <c r="I22" s="909">
        <f t="shared" si="0"/>
        <v>0</v>
      </c>
      <c r="J22" s="909"/>
      <c r="K22" s="909"/>
      <c r="L22" s="909">
        <f t="shared" si="1"/>
        <v>0</v>
      </c>
      <c r="M22" s="909"/>
      <c r="N22" s="909"/>
      <c r="O22" s="909">
        <f t="shared" si="2"/>
        <v>0</v>
      </c>
      <c r="P22" s="920"/>
      <c r="Q22" s="909">
        <f>P22*0.04</f>
        <v>0</v>
      </c>
      <c r="R22" s="910"/>
      <c r="S22" s="909"/>
      <c r="T22" s="909"/>
      <c r="U22" s="910"/>
      <c r="V22" s="917"/>
      <c r="W22" s="912"/>
      <c r="X22" s="913" t="s">
        <v>554</v>
      </c>
      <c r="Y22" s="913"/>
      <c r="Z22" s="914"/>
    </row>
    <row r="23" spans="1:26" s="915" customFormat="1" ht="24" customHeight="1">
      <c r="A23" s="904"/>
      <c r="B23" s="763"/>
      <c r="C23" s="905"/>
      <c r="D23" s="906"/>
      <c r="E23" s="907"/>
      <c r="F23" s="908"/>
      <c r="G23" s="906"/>
      <c r="H23" s="909"/>
      <c r="I23" s="909">
        <f t="shared" si="0"/>
        <v>0</v>
      </c>
      <c r="J23" s="909"/>
      <c r="K23" s="909"/>
      <c r="L23" s="909">
        <f t="shared" si="1"/>
        <v>0</v>
      </c>
      <c r="M23" s="909"/>
      <c r="N23" s="909"/>
      <c r="O23" s="909">
        <f t="shared" si="2"/>
        <v>0</v>
      </c>
      <c r="P23" s="920"/>
      <c r="Q23" s="909">
        <f>P23*0.04</f>
        <v>0</v>
      </c>
      <c r="R23" s="910"/>
      <c r="S23" s="909"/>
      <c r="T23" s="909"/>
      <c r="U23" s="910"/>
      <c r="V23" s="917"/>
      <c r="W23" s="912"/>
      <c r="X23" s="913" t="s">
        <v>554</v>
      </c>
      <c r="Y23" s="913"/>
      <c r="Z23" s="914"/>
    </row>
    <row r="24" spans="1:26" s="915" customFormat="1" ht="24" customHeight="1">
      <c r="A24" s="904"/>
      <c r="B24" s="763"/>
      <c r="C24" s="905"/>
      <c r="D24" s="906"/>
      <c r="E24" s="907"/>
      <c r="F24" s="918"/>
      <c r="G24" s="906"/>
      <c r="H24" s="909"/>
      <c r="I24" s="909">
        <f t="shared" si="0"/>
        <v>0</v>
      </c>
      <c r="J24" s="909"/>
      <c r="K24" s="909"/>
      <c r="L24" s="909">
        <f t="shared" si="1"/>
        <v>0</v>
      </c>
      <c r="M24" s="909"/>
      <c r="N24" s="909"/>
      <c r="O24" s="909">
        <f t="shared" si="2"/>
        <v>0</v>
      </c>
      <c r="P24" s="909"/>
      <c r="Q24" s="909">
        <f>P24*0.04</f>
        <v>0</v>
      </c>
      <c r="R24" s="910"/>
      <c r="S24" s="909"/>
      <c r="T24" s="909"/>
      <c r="U24" s="910"/>
      <c r="V24" s="917"/>
      <c r="W24" s="912"/>
      <c r="X24" s="913" t="s">
        <v>554</v>
      </c>
      <c r="Y24" s="913"/>
      <c r="Z24" s="914"/>
    </row>
    <row r="25" spans="1:26" s="915" customFormat="1" ht="24" customHeight="1">
      <c r="A25" s="904"/>
      <c r="B25" s="763"/>
      <c r="C25" s="905"/>
      <c r="D25" s="906"/>
      <c r="E25" s="907"/>
      <c r="F25" s="918"/>
      <c r="G25" s="906"/>
      <c r="H25" s="909"/>
      <c r="I25" s="909">
        <f t="shared" si="0"/>
        <v>0</v>
      </c>
      <c r="J25" s="909"/>
      <c r="K25" s="909"/>
      <c r="L25" s="909">
        <f t="shared" si="1"/>
        <v>0</v>
      </c>
      <c r="M25" s="909"/>
      <c r="N25" s="909"/>
      <c r="O25" s="909">
        <f t="shared" si="2"/>
        <v>0</v>
      </c>
      <c r="P25" s="909"/>
      <c r="Q25" s="909">
        <f>P25*0.04</f>
        <v>0</v>
      </c>
      <c r="R25" s="910"/>
      <c r="S25" s="909"/>
      <c r="T25" s="909"/>
      <c r="U25" s="910"/>
      <c r="V25" s="917"/>
      <c r="W25" s="912"/>
      <c r="X25" s="913" t="s">
        <v>555</v>
      </c>
      <c r="Y25" s="913"/>
      <c r="Z25" s="914"/>
    </row>
    <row r="26" spans="1:26" s="915" customFormat="1" ht="24" customHeight="1">
      <c r="A26" s="904"/>
      <c r="B26" s="763"/>
      <c r="C26" s="905"/>
      <c r="D26" s="906"/>
      <c r="E26" s="907"/>
      <c r="F26" s="918"/>
      <c r="G26" s="906"/>
      <c r="H26" s="909"/>
      <c r="I26" s="909"/>
      <c r="J26" s="909"/>
      <c r="K26" s="909"/>
      <c r="L26" s="909"/>
      <c r="M26" s="909"/>
      <c r="N26" s="909"/>
      <c r="O26" s="909"/>
      <c r="P26" s="909"/>
      <c r="Q26" s="909"/>
      <c r="R26" s="910"/>
      <c r="S26" s="909"/>
      <c r="T26" s="909"/>
      <c r="U26" s="910"/>
      <c r="V26" s="917"/>
      <c r="W26" s="912"/>
      <c r="X26" s="913"/>
      <c r="Y26" s="913"/>
      <c r="Z26" s="914"/>
    </row>
    <row r="27" spans="1:26" s="915" customFormat="1" ht="24" customHeight="1">
      <c r="A27" s="904"/>
      <c r="B27" s="763"/>
      <c r="C27" s="905"/>
      <c r="D27" s="906"/>
      <c r="E27" s="907"/>
      <c r="F27" s="918"/>
      <c r="G27" s="906"/>
      <c r="H27" s="909"/>
      <c r="I27" s="909"/>
      <c r="J27" s="909"/>
      <c r="K27" s="909"/>
      <c r="L27" s="909"/>
      <c r="M27" s="909"/>
      <c r="N27" s="909"/>
      <c r="O27" s="909"/>
      <c r="P27" s="909"/>
      <c r="Q27" s="909"/>
      <c r="R27" s="910"/>
      <c r="S27" s="909"/>
      <c r="T27" s="909"/>
      <c r="U27" s="910"/>
      <c r="V27" s="917"/>
      <c r="W27" s="912"/>
      <c r="X27" s="913"/>
      <c r="Y27" s="913"/>
      <c r="Z27" s="914"/>
    </row>
    <row r="28" spans="1:26" s="915" customFormat="1" ht="24" customHeight="1">
      <c r="A28" s="904"/>
      <c r="B28" s="763"/>
      <c r="C28" s="905"/>
      <c r="D28" s="906"/>
      <c r="E28" s="907"/>
      <c r="F28" s="918"/>
      <c r="G28" s="906"/>
      <c r="H28" s="909"/>
      <c r="I28" s="909"/>
      <c r="J28" s="909"/>
      <c r="K28" s="909"/>
      <c r="L28" s="909"/>
      <c r="M28" s="909"/>
      <c r="N28" s="909"/>
      <c r="O28" s="909"/>
      <c r="P28" s="909"/>
      <c r="Q28" s="909"/>
      <c r="R28" s="910"/>
      <c r="S28" s="909"/>
      <c r="T28" s="909"/>
      <c r="U28" s="910"/>
      <c r="V28" s="917"/>
      <c r="Y28" s="913"/>
      <c r="Z28" s="914"/>
    </row>
    <row r="29" spans="1:26" s="915" customFormat="1" ht="24" customHeight="1">
      <c r="A29" s="904"/>
      <c r="B29" s="763"/>
      <c r="C29" s="924"/>
      <c r="D29" s="906"/>
      <c r="E29" s="928"/>
      <c r="F29" s="918"/>
      <c r="G29" s="906"/>
      <c r="H29" s="909"/>
      <c r="I29" s="909"/>
      <c r="J29" s="909"/>
      <c r="K29" s="909"/>
      <c r="L29" s="909"/>
      <c r="M29" s="909"/>
      <c r="N29" s="909"/>
      <c r="O29" s="909"/>
      <c r="P29" s="926"/>
      <c r="Q29" s="926"/>
      <c r="R29" s="927"/>
      <c r="S29" s="909"/>
      <c r="T29" s="909"/>
      <c r="U29" s="910"/>
      <c r="V29" s="917"/>
      <c r="W29" s="912"/>
      <c r="X29" s="913"/>
      <c r="Y29" s="913"/>
      <c r="Z29" s="913"/>
    </row>
    <row r="30" spans="1:26" s="915" customFormat="1" ht="24" customHeight="1">
      <c r="A30" s="904"/>
      <c r="B30" s="763"/>
      <c r="C30" s="905"/>
      <c r="D30" s="906"/>
      <c r="E30" s="907"/>
      <c r="F30" s="918"/>
      <c r="G30" s="906"/>
      <c r="H30" s="909"/>
      <c r="I30" s="909"/>
      <c r="J30" s="909"/>
      <c r="K30" s="909"/>
      <c r="L30" s="909"/>
      <c r="M30" s="909"/>
      <c r="N30" s="909"/>
      <c r="O30" s="909"/>
      <c r="P30" s="926"/>
      <c r="Q30" s="926"/>
      <c r="R30" s="927"/>
      <c r="S30" s="909"/>
      <c r="T30" s="909"/>
      <c r="U30" s="910"/>
      <c r="V30" s="917"/>
      <c r="W30" s="929"/>
      <c r="X30" s="913"/>
      <c r="Y30" s="913"/>
      <c r="Z30" s="913"/>
    </row>
    <row r="31" spans="1:26" s="915" customFormat="1" ht="24" customHeight="1">
      <c r="A31" s="904"/>
      <c r="B31" s="763"/>
      <c r="C31" s="924"/>
      <c r="D31" s="906"/>
      <c r="E31" s="928"/>
      <c r="F31" s="918"/>
      <c r="G31" s="906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10"/>
      <c r="S31" s="909"/>
      <c r="T31" s="909"/>
      <c r="U31" s="910"/>
      <c r="V31" s="917"/>
      <c r="W31" s="929"/>
      <c r="X31" s="913"/>
      <c r="Y31" s="913"/>
      <c r="Z31" s="913"/>
    </row>
    <row r="32" spans="1:26" s="915" customFormat="1" ht="24" customHeight="1">
      <c r="A32" s="904"/>
      <c r="B32" s="763"/>
      <c r="C32" s="905"/>
      <c r="D32" s="906"/>
      <c r="E32" s="907"/>
      <c r="F32" s="918"/>
      <c r="G32" s="906"/>
      <c r="H32" s="909"/>
      <c r="I32" s="909"/>
      <c r="J32" s="909"/>
      <c r="K32" s="909"/>
      <c r="L32" s="909"/>
      <c r="M32" s="909"/>
      <c r="N32" s="909"/>
      <c r="O32" s="909"/>
      <c r="P32" s="909"/>
      <c r="Q32" s="909"/>
      <c r="R32" s="910"/>
      <c r="S32" s="909"/>
      <c r="T32" s="909"/>
      <c r="U32" s="910"/>
      <c r="V32" s="917"/>
      <c r="W32" s="912"/>
      <c r="X32" s="913"/>
      <c r="Y32" s="913"/>
      <c r="Z32" s="913"/>
    </row>
    <row r="33" spans="1:26" s="915" customFormat="1" ht="24" customHeight="1">
      <c r="A33" s="904"/>
      <c r="B33" s="763"/>
      <c r="C33" s="924"/>
      <c r="D33" s="906"/>
      <c r="E33" s="907"/>
      <c r="F33" s="918"/>
      <c r="G33" s="906"/>
      <c r="H33" s="909"/>
      <c r="I33" s="909"/>
      <c r="J33" s="909"/>
      <c r="K33" s="909"/>
      <c r="L33" s="909"/>
      <c r="M33" s="909"/>
      <c r="N33" s="909"/>
      <c r="O33" s="909"/>
      <c r="P33" s="909"/>
      <c r="Q33" s="909"/>
      <c r="R33" s="910"/>
      <c r="S33" s="909"/>
      <c r="T33" s="909"/>
      <c r="U33" s="910"/>
      <c r="V33" s="917"/>
      <c r="W33" s="912"/>
      <c r="X33" s="913"/>
      <c r="Y33" s="913"/>
      <c r="Z33" s="913"/>
    </row>
    <row r="34" spans="1:26" s="915" customFormat="1" ht="24" customHeight="1">
      <c r="A34" s="904"/>
      <c r="B34" s="763"/>
      <c r="C34" s="905"/>
      <c r="D34" s="906"/>
      <c r="E34" s="907"/>
      <c r="F34" s="918"/>
      <c r="G34" s="906"/>
      <c r="H34" s="909"/>
      <c r="I34" s="909"/>
      <c r="J34" s="909"/>
      <c r="K34" s="909"/>
      <c r="L34" s="909"/>
      <c r="M34" s="909"/>
      <c r="N34" s="909"/>
      <c r="O34" s="909"/>
      <c r="P34" s="909"/>
      <c r="Q34" s="909"/>
      <c r="R34" s="910"/>
      <c r="S34" s="920"/>
      <c r="T34" s="909"/>
      <c r="U34" s="910"/>
      <c r="V34" s="917"/>
      <c r="W34" s="912"/>
      <c r="X34" s="913"/>
      <c r="Y34" s="913"/>
      <c r="Z34" s="913"/>
    </row>
    <row r="35" spans="1:26" s="915" customFormat="1" ht="24" customHeight="1">
      <c r="A35" s="904"/>
      <c r="B35" s="763"/>
      <c r="C35" s="924"/>
      <c r="D35" s="906"/>
      <c r="E35" s="907"/>
      <c r="F35" s="918"/>
      <c r="G35" s="906"/>
      <c r="H35" s="909"/>
      <c r="I35" s="909"/>
      <c r="J35" s="909"/>
      <c r="K35" s="909"/>
      <c r="L35" s="909"/>
      <c r="M35" s="909"/>
      <c r="N35" s="909"/>
      <c r="O35" s="909"/>
      <c r="P35" s="909"/>
      <c r="Q35" s="909"/>
      <c r="R35" s="910"/>
      <c r="S35" s="909"/>
      <c r="T35" s="909"/>
      <c r="U35" s="910"/>
      <c r="V35" s="917"/>
      <c r="W35" s="912"/>
      <c r="X35" s="913"/>
      <c r="Y35" s="913"/>
      <c r="Z35" s="913"/>
    </row>
    <row r="36" spans="1:26" s="915" customFormat="1" ht="24" customHeight="1">
      <c r="A36" s="904"/>
      <c r="B36" s="763"/>
      <c r="C36" s="905"/>
      <c r="D36" s="906"/>
      <c r="E36" s="907"/>
      <c r="F36" s="918"/>
      <c r="G36" s="906"/>
      <c r="H36" s="909"/>
      <c r="I36" s="909"/>
      <c r="J36" s="909"/>
      <c r="K36" s="909"/>
      <c r="L36" s="909"/>
      <c r="M36" s="909"/>
      <c r="N36" s="909"/>
      <c r="O36" s="909"/>
      <c r="P36" s="909"/>
      <c r="Q36" s="909"/>
      <c r="R36" s="910"/>
      <c r="S36" s="909"/>
      <c r="T36" s="909"/>
      <c r="U36" s="910"/>
      <c r="V36" s="917"/>
      <c r="W36" s="912"/>
      <c r="X36" s="913"/>
      <c r="Y36" s="913"/>
      <c r="Z36" s="913"/>
    </row>
    <row r="37" spans="1:26" s="915" customFormat="1" ht="24" customHeight="1">
      <c r="A37" s="904"/>
      <c r="B37" s="763"/>
      <c r="C37" s="905"/>
      <c r="D37" s="906"/>
      <c r="E37" s="907"/>
      <c r="F37" s="918"/>
      <c r="G37" s="906"/>
      <c r="H37" s="909"/>
      <c r="I37" s="909"/>
      <c r="J37" s="909"/>
      <c r="K37" s="909"/>
      <c r="L37" s="909"/>
      <c r="M37" s="909"/>
      <c r="N37" s="909"/>
      <c r="O37" s="909"/>
      <c r="P37" s="909"/>
      <c r="Q37" s="909"/>
      <c r="R37" s="910"/>
      <c r="S37" s="909"/>
      <c r="T37" s="909"/>
      <c r="U37" s="910"/>
      <c r="V37" s="917"/>
      <c r="W37" s="912"/>
      <c r="X37" s="913"/>
      <c r="Y37" s="913"/>
      <c r="Z37" s="913"/>
    </row>
    <row r="38" spans="1:26" s="915" customFormat="1" ht="24" customHeight="1">
      <c r="A38" s="904"/>
      <c r="B38" s="763"/>
      <c r="C38" s="924"/>
      <c r="D38" s="906"/>
      <c r="E38" s="907"/>
      <c r="F38" s="918"/>
      <c r="G38" s="906"/>
      <c r="H38" s="909"/>
      <c r="I38" s="909"/>
      <c r="J38" s="909"/>
      <c r="K38" s="909"/>
      <c r="L38" s="909"/>
      <c r="M38" s="909"/>
      <c r="N38" s="909"/>
      <c r="O38" s="909"/>
      <c r="P38" s="909"/>
      <c r="Q38" s="909"/>
      <c r="R38" s="910"/>
      <c r="S38" s="909"/>
      <c r="T38" s="909"/>
      <c r="U38" s="910"/>
      <c r="V38" s="917"/>
      <c r="W38" s="912"/>
      <c r="X38" s="913"/>
      <c r="Y38" s="913"/>
      <c r="Z38" s="913"/>
    </row>
    <row r="39" spans="1:26" s="915" customFormat="1" ht="24" customHeight="1">
      <c r="A39" s="904"/>
      <c r="B39" s="763"/>
      <c r="C39" s="924"/>
      <c r="D39" s="906"/>
      <c r="E39" s="907"/>
      <c r="F39" s="918"/>
      <c r="G39" s="906"/>
      <c r="H39" s="909"/>
      <c r="I39" s="909"/>
      <c r="J39" s="909"/>
      <c r="K39" s="909"/>
      <c r="L39" s="909"/>
      <c r="M39" s="909"/>
      <c r="N39" s="909"/>
      <c r="O39" s="909"/>
      <c r="P39" s="909"/>
      <c r="Q39" s="909"/>
      <c r="R39" s="910"/>
      <c r="S39" s="909"/>
      <c r="T39" s="909"/>
      <c r="U39" s="910"/>
      <c r="V39" s="917"/>
      <c r="W39" s="912"/>
      <c r="X39" s="913"/>
      <c r="Y39" s="913"/>
      <c r="Z39" s="913"/>
    </row>
    <row r="40" spans="1:26" s="915" customFormat="1" ht="24" customHeight="1">
      <c r="A40" s="904"/>
      <c r="B40" s="763"/>
      <c r="C40" s="905"/>
      <c r="D40" s="906"/>
      <c r="E40" s="907"/>
      <c r="F40" s="918"/>
      <c r="G40" s="906"/>
      <c r="H40" s="909"/>
      <c r="I40" s="909"/>
      <c r="J40" s="909"/>
      <c r="K40" s="909"/>
      <c r="L40" s="909"/>
      <c r="M40" s="909"/>
      <c r="N40" s="909"/>
      <c r="O40" s="909"/>
      <c r="P40" s="909"/>
      <c r="Q40" s="909"/>
      <c r="R40" s="910"/>
      <c r="S40" s="909"/>
      <c r="T40" s="909"/>
      <c r="U40" s="910"/>
      <c r="V40" s="917"/>
      <c r="W40" s="912"/>
      <c r="X40" s="913"/>
      <c r="Y40" s="913"/>
      <c r="Z40" s="913"/>
    </row>
    <row r="41" spans="1:26" s="915" customFormat="1" ht="24" customHeight="1">
      <c r="A41" s="904"/>
      <c r="B41" s="763"/>
      <c r="C41" s="924"/>
      <c r="D41" s="906"/>
      <c r="E41" s="907"/>
      <c r="F41" s="918"/>
      <c r="G41" s="906"/>
      <c r="H41" s="909"/>
      <c r="I41" s="909"/>
      <c r="J41" s="909"/>
      <c r="K41" s="909"/>
      <c r="L41" s="909"/>
      <c r="M41" s="909"/>
      <c r="N41" s="909"/>
      <c r="O41" s="909"/>
      <c r="P41" s="909"/>
      <c r="Q41" s="909"/>
      <c r="R41" s="910"/>
      <c r="S41" s="909"/>
      <c r="T41" s="909"/>
      <c r="U41" s="910"/>
      <c r="V41" s="917"/>
      <c r="W41" s="912"/>
      <c r="X41" s="913"/>
      <c r="Y41" s="913"/>
      <c r="Z41" s="913"/>
    </row>
    <row r="42" spans="1:26" s="915" customFormat="1" ht="24" customHeight="1">
      <c r="A42" s="904"/>
      <c r="B42" s="763"/>
      <c r="C42" s="924"/>
      <c r="D42" s="906"/>
      <c r="E42" s="907"/>
      <c r="F42" s="918"/>
      <c r="G42" s="906"/>
      <c r="H42" s="909"/>
      <c r="I42" s="909"/>
      <c r="J42" s="909"/>
      <c r="K42" s="909"/>
      <c r="L42" s="909"/>
      <c r="M42" s="909"/>
      <c r="N42" s="909"/>
      <c r="O42" s="909"/>
      <c r="P42" s="909"/>
      <c r="Q42" s="909"/>
      <c r="R42" s="910"/>
      <c r="S42" s="909"/>
      <c r="T42" s="909"/>
      <c r="U42" s="910"/>
      <c r="V42" s="917"/>
      <c r="W42" s="912"/>
      <c r="X42" s="913"/>
      <c r="Y42" s="913"/>
      <c r="Z42" s="913"/>
    </row>
    <row r="43" spans="1:26" s="915" customFormat="1" ht="24" customHeight="1">
      <c r="A43" s="904"/>
      <c r="B43" s="763"/>
      <c r="C43" s="924"/>
      <c r="D43" s="906"/>
      <c r="E43" s="907"/>
      <c r="F43" s="918"/>
      <c r="G43" s="906"/>
      <c r="H43" s="909"/>
      <c r="I43" s="909"/>
      <c r="J43" s="909"/>
      <c r="K43" s="909"/>
      <c r="L43" s="909"/>
      <c r="M43" s="909"/>
      <c r="N43" s="909"/>
      <c r="O43" s="909"/>
      <c r="P43" s="909"/>
      <c r="Q43" s="909"/>
      <c r="R43" s="910"/>
      <c r="S43" s="909"/>
      <c r="T43" s="909"/>
      <c r="U43" s="910"/>
      <c r="V43" s="917"/>
      <c r="W43" s="912"/>
      <c r="X43" s="913"/>
      <c r="Y43" s="913"/>
      <c r="Z43" s="913"/>
    </row>
    <row r="44" spans="1:26" s="915" customFormat="1" ht="24" customHeight="1">
      <c r="A44" s="904"/>
      <c r="B44" s="763"/>
      <c r="C44" s="924"/>
      <c r="D44" s="906"/>
      <c r="E44" s="907"/>
      <c r="F44" s="918"/>
      <c r="G44" s="906"/>
      <c r="H44" s="909"/>
      <c r="I44" s="909"/>
      <c r="J44" s="909"/>
      <c r="K44" s="909"/>
      <c r="L44" s="909"/>
      <c r="M44" s="909"/>
      <c r="N44" s="909"/>
      <c r="O44" s="909"/>
      <c r="P44" s="909"/>
      <c r="Q44" s="909"/>
      <c r="R44" s="910"/>
      <c r="S44" s="909"/>
      <c r="T44" s="909"/>
      <c r="U44" s="910"/>
      <c r="V44" s="917"/>
      <c r="W44" s="912"/>
      <c r="X44" s="913"/>
      <c r="Y44" s="913"/>
      <c r="Z44" s="913"/>
    </row>
    <row r="45" spans="1:26" s="915" customFormat="1" ht="24" customHeight="1">
      <c r="A45" s="904"/>
      <c r="B45" s="763"/>
      <c r="C45" s="924"/>
      <c r="D45" s="906"/>
      <c r="E45" s="907"/>
      <c r="F45" s="918"/>
      <c r="G45" s="906"/>
      <c r="H45" s="909"/>
      <c r="I45" s="909"/>
      <c r="J45" s="909"/>
      <c r="K45" s="909"/>
      <c r="L45" s="909"/>
      <c r="M45" s="909"/>
      <c r="N45" s="909"/>
      <c r="O45" s="909"/>
      <c r="P45" s="909"/>
      <c r="Q45" s="909"/>
      <c r="R45" s="910"/>
      <c r="S45" s="909"/>
      <c r="T45" s="909"/>
      <c r="U45" s="910"/>
      <c r="V45" s="917"/>
      <c r="W45" s="912"/>
      <c r="X45" s="913"/>
      <c r="Y45" s="913"/>
      <c r="Z45" s="913"/>
    </row>
    <row r="46" spans="1:26" s="915" customFormat="1" ht="24" customHeight="1">
      <c r="A46" s="904"/>
      <c r="B46" s="763"/>
      <c r="C46" s="924"/>
      <c r="D46" s="906"/>
      <c r="E46" s="907"/>
      <c r="F46" s="918"/>
      <c r="G46" s="906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10"/>
      <c r="S46" s="909"/>
      <c r="T46" s="909"/>
      <c r="U46" s="910"/>
      <c r="V46" s="917"/>
      <c r="W46" s="912"/>
      <c r="X46" s="913"/>
      <c r="Y46" s="913"/>
      <c r="Z46" s="913"/>
    </row>
    <row r="47" spans="1:26" s="915" customFormat="1" ht="24" customHeight="1">
      <c r="A47" s="904"/>
      <c r="B47" s="763"/>
      <c r="C47" s="924"/>
      <c r="D47" s="906"/>
      <c r="E47" s="907"/>
      <c r="F47" s="918"/>
      <c r="G47" s="906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10"/>
      <c r="S47" s="909"/>
      <c r="T47" s="909"/>
      <c r="U47" s="910"/>
      <c r="V47" s="917"/>
      <c r="W47" s="912"/>
      <c r="X47" s="913"/>
      <c r="Y47" s="913"/>
      <c r="Z47" s="913"/>
    </row>
    <row r="48" spans="1:26" s="915" customFormat="1" ht="24" customHeight="1">
      <c r="A48" s="904"/>
      <c r="B48" s="763"/>
      <c r="C48" s="924"/>
      <c r="D48" s="906"/>
      <c r="E48" s="907"/>
      <c r="F48" s="918"/>
      <c r="G48" s="906"/>
      <c r="H48" s="909"/>
      <c r="I48" s="909"/>
      <c r="J48" s="909"/>
      <c r="K48" s="909"/>
      <c r="L48" s="909"/>
      <c r="M48" s="909"/>
      <c r="N48" s="909"/>
      <c r="O48" s="909"/>
      <c r="P48" s="909"/>
      <c r="Q48" s="909"/>
      <c r="R48" s="910"/>
      <c r="S48" s="909"/>
      <c r="T48" s="909"/>
      <c r="U48" s="910"/>
      <c r="V48" s="917"/>
      <c r="W48" s="912"/>
      <c r="X48" s="913"/>
      <c r="Y48" s="913"/>
      <c r="Z48" s="913"/>
    </row>
    <row r="49" spans="1:26" s="915" customFormat="1" ht="24" customHeight="1">
      <c r="A49" s="904"/>
      <c r="B49" s="763"/>
      <c r="C49" s="905"/>
      <c r="D49" s="906"/>
      <c r="E49" s="907"/>
      <c r="F49" s="918"/>
      <c r="G49" s="906"/>
      <c r="H49" s="909"/>
      <c r="I49" s="909"/>
      <c r="J49" s="909"/>
      <c r="K49" s="909"/>
      <c r="L49" s="909"/>
      <c r="M49" s="909"/>
      <c r="N49" s="909"/>
      <c r="O49" s="909"/>
      <c r="P49" s="909"/>
      <c r="Q49" s="909"/>
      <c r="R49" s="910"/>
      <c r="S49" s="909"/>
      <c r="T49" s="909"/>
      <c r="U49" s="910"/>
      <c r="V49" s="917"/>
      <c r="W49" s="912"/>
      <c r="X49" s="913"/>
      <c r="Y49" s="913"/>
      <c r="Z49" s="913"/>
    </row>
    <row r="50" spans="1:26" s="915" customFormat="1" ht="24" customHeight="1">
      <c r="A50" s="904"/>
      <c r="B50" s="763"/>
      <c r="C50" s="924"/>
      <c r="D50" s="906"/>
      <c r="E50" s="907"/>
      <c r="F50" s="918"/>
      <c r="G50" s="906"/>
      <c r="H50" s="909"/>
      <c r="I50" s="909"/>
      <c r="J50" s="909"/>
      <c r="K50" s="909"/>
      <c r="L50" s="909"/>
      <c r="M50" s="909"/>
      <c r="N50" s="909"/>
      <c r="O50" s="909"/>
      <c r="P50" s="909"/>
      <c r="Q50" s="909"/>
      <c r="R50" s="910"/>
      <c r="S50" s="909"/>
      <c r="T50" s="909"/>
      <c r="U50" s="910"/>
      <c r="V50" s="917"/>
      <c r="W50" s="912"/>
      <c r="X50" s="913"/>
      <c r="Y50" s="913"/>
      <c r="Z50" s="913"/>
    </row>
    <row r="51" spans="1:26" s="915" customFormat="1" ht="24" customHeight="1">
      <c r="A51" s="904"/>
      <c r="B51" s="763"/>
      <c r="C51" s="905"/>
      <c r="D51" s="906"/>
      <c r="E51" s="907"/>
      <c r="F51" s="918"/>
      <c r="G51" s="906"/>
      <c r="H51" s="909"/>
      <c r="I51" s="909"/>
      <c r="J51" s="909"/>
      <c r="K51" s="909"/>
      <c r="L51" s="909"/>
      <c r="M51" s="909"/>
      <c r="N51" s="909"/>
      <c r="O51" s="909"/>
      <c r="P51" s="909"/>
      <c r="Q51" s="909"/>
      <c r="R51" s="910"/>
      <c r="S51" s="909"/>
      <c r="T51" s="909"/>
      <c r="U51" s="910"/>
      <c r="V51" s="917"/>
      <c r="W51" s="912"/>
      <c r="X51" s="913"/>
      <c r="Y51" s="913"/>
      <c r="Z51" s="913"/>
    </row>
    <row r="52" spans="1:26" s="915" customFormat="1" ht="24" customHeight="1">
      <c r="A52" s="904"/>
      <c r="B52" s="763"/>
      <c r="C52" s="905"/>
      <c r="D52" s="906"/>
      <c r="E52" s="907"/>
      <c r="F52" s="918"/>
      <c r="G52" s="906"/>
      <c r="H52" s="909"/>
      <c r="I52" s="909"/>
      <c r="J52" s="909"/>
      <c r="K52" s="909"/>
      <c r="L52" s="909"/>
      <c r="M52" s="909"/>
      <c r="N52" s="909"/>
      <c r="O52" s="909"/>
      <c r="P52" s="909"/>
      <c r="Q52" s="909"/>
      <c r="R52" s="910"/>
      <c r="S52" s="909"/>
      <c r="T52" s="909"/>
      <c r="U52" s="910"/>
      <c r="V52" s="917"/>
      <c r="W52" s="912"/>
      <c r="X52" s="913"/>
      <c r="Y52" s="913"/>
      <c r="Z52" s="913"/>
    </row>
    <row r="53" spans="1:26" s="915" customFormat="1" ht="24" customHeight="1">
      <c r="A53" s="904"/>
      <c r="B53" s="763"/>
      <c r="C53" s="905"/>
      <c r="D53" s="906"/>
      <c r="E53" s="907"/>
      <c r="F53" s="918"/>
      <c r="G53" s="906"/>
      <c r="H53" s="909"/>
      <c r="I53" s="909"/>
      <c r="J53" s="909"/>
      <c r="K53" s="909"/>
      <c r="L53" s="909"/>
      <c r="M53" s="909"/>
      <c r="N53" s="909"/>
      <c r="O53" s="909"/>
      <c r="P53" s="909"/>
      <c r="Q53" s="909"/>
      <c r="R53" s="910"/>
      <c r="S53" s="909"/>
      <c r="T53" s="909"/>
      <c r="U53" s="910"/>
      <c r="V53" s="917"/>
      <c r="W53" s="912"/>
      <c r="X53" s="913"/>
      <c r="Y53" s="913"/>
      <c r="Z53" s="913"/>
    </row>
    <row r="54" spans="1:26" s="915" customFormat="1" ht="24" customHeight="1">
      <c r="A54" s="904"/>
      <c r="B54" s="763"/>
      <c r="C54" s="905"/>
      <c r="D54" s="906"/>
      <c r="E54" s="907"/>
      <c r="F54" s="918"/>
      <c r="G54" s="906"/>
      <c r="H54" s="909"/>
      <c r="I54" s="909"/>
      <c r="J54" s="909"/>
      <c r="K54" s="909"/>
      <c r="L54" s="909"/>
      <c r="M54" s="909"/>
      <c r="N54" s="909"/>
      <c r="O54" s="909"/>
      <c r="P54" s="909"/>
      <c r="Q54" s="909"/>
      <c r="R54" s="910"/>
      <c r="S54" s="909"/>
      <c r="T54" s="909"/>
      <c r="U54" s="910"/>
      <c r="V54" s="917"/>
      <c r="W54" s="912"/>
      <c r="X54" s="913"/>
      <c r="Y54" s="913"/>
      <c r="Z54" s="913"/>
    </row>
    <row r="55" spans="1:26" s="915" customFormat="1" ht="24" customHeight="1">
      <c r="A55" s="904"/>
      <c r="B55" s="763"/>
      <c r="C55" s="905"/>
      <c r="D55" s="906"/>
      <c r="E55" s="907"/>
      <c r="F55" s="918"/>
      <c r="G55" s="906"/>
      <c r="H55" s="909"/>
      <c r="I55" s="909"/>
      <c r="J55" s="909"/>
      <c r="K55" s="909"/>
      <c r="L55" s="909"/>
      <c r="M55" s="909"/>
      <c r="N55" s="909"/>
      <c r="O55" s="909"/>
      <c r="P55" s="909"/>
      <c r="Q55" s="909"/>
      <c r="R55" s="910"/>
      <c r="S55" s="909"/>
      <c r="T55" s="909"/>
      <c r="U55" s="910"/>
      <c r="V55" s="917"/>
      <c r="W55" s="912"/>
      <c r="X55" s="913"/>
      <c r="Y55" s="913"/>
      <c r="Z55" s="913"/>
    </row>
    <row r="56" spans="1:26" s="915" customFormat="1" ht="24" customHeight="1">
      <c r="A56" s="904"/>
      <c r="B56" s="763"/>
      <c r="C56" s="905"/>
      <c r="D56" s="906"/>
      <c r="E56" s="907"/>
      <c r="F56" s="918"/>
      <c r="G56" s="906"/>
      <c r="H56" s="909"/>
      <c r="I56" s="909"/>
      <c r="J56" s="909"/>
      <c r="K56" s="909"/>
      <c r="L56" s="909"/>
      <c r="M56" s="909"/>
      <c r="N56" s="909"/>
      <c r="O56" s="909"/>
      <c r="P56" s="909"/>
      <c r="Q56" s="909"/>
      <c r="R56" s="910"/>
      <c r="S56" s="909"/>
      <c r="T56" s="909"/>
      <c r="U56" s="910"/>
      <c r="V56" s="917"/>
      <c r="W56" s="912"/>
      <c r="X56" s="913"/>
      <c r="Y56" s="913"/>
      <c r="Z56" s="913"/>
    </row>
    <row r="57" spans="1:26" s="915" customFormat="1" ht="24" customHeight="1">
      <c r="A57" s="904"/>
      <c r="B57" s="763"/>
      <c r="C57" s="905"/>
      <c r="D57" s="906"/>
      <c r="E57" s="907"/>
      <c r="F57" s="918"/>
      <c r="G57" s="906"/>
      <c r="H57" s="909"/>
      <c r="I57" s="909"/>
      <c r="J57" s="909"/>
      <c r="K57" s="909"/>
      <c r="L57" s="909"/>
      <c r="M57" s="909"/>
      <c r="N57" s="909"/>
      <c r="O57" s="909"/>
      <c r="P57" s="909"/>
      <c r="Q57" s="909"/>
      <c r="R57" s="910"/>
      <c r="S57" s="909"/>
      <c r="T57" s="909"/>
      <c r="U57" s="910"/>
      <c r="V57" s="917"/>
      <c r="W57" s="912"/>
      <c r="X57" s="913"/>
      <c r="Y57" s="913"/>
      <c r="Z57" s="913"/>
    </row>
    <row r="58" spans="1:26" s="915" customFormat="1" ht="24" customHeight="1">
      <c r="A58" s="904"/>
      <c r="B58" s="763"/>
      <c r="C58" s="905"/>
      <c r="D58" s="906"/>
      <c r="E58" s="907"/>
      <c r="F58" s="918"/>
      <c r="G58" s="906"/>
      <c r="H58" s="909"/>
      <c r="I58" s="909"/>
      <c r="J58" s="909"/>
      <c r="K58" s="909"/>
      <c r="L58" s="909"/>
      <c r="M58" s="909"/>
      <c r="N58" s="909"/>
      <c r="O58" s="909"/>
      <c r="P58" s="909"/>
      <c r="Q58" s="909"/>
      <c r="R58" s="910"/>
      <c r="S58" s="909"/>
      <c r="T58" s="909"/>
      <c r="U58" s="910"/>
      <c r="V58" s="917"/>
      <c r="W58" s="912"/>
      <c r="X58" s="913"/>
      <c r="Y58" s="913"/>
      <c r="Z58" s="913"/>
    </row>
    <row r="59" spans="1:26" s="915" customFormat="1" ht="24" customHeight="1">
      <c r="A59" s="904"/>
      <c r="B59" s="763"/>
      <c r="C59" s="905"/>
      <c r="D59" s="906"/>
      <c r="E59" s="907"/>
      <c r="F59" s="918"/>
      <c r="G59" s="906"/>
      <c r="H59" s="909"/>
      <c r="I59" s="909"/>
      <c r="J59" s="909"/>
      <c r="K59" s="909"/>
      <c r="L59" s="909"/>
      <c r="M59" s="909"/>
      <c r="N59" s="909"/>
      <c r="O59" s="909"/>
      <c r="P59" s="909"/>
      <c r="Q59" s="909"/>
      <c r="R59" s="910"/>
      <c r="S59" s="909"/>
      <c r="T59" s="909"/>
      <c r="U59" s="910"/>
      <c r="V59" s="917"/>
      <c r="W59" s="912"/>
      <c r="X59" s="913"/>
      <c r="Y59" s="913"/>
      <c r="Z59" s="913"/>
    </row>
    <row r="60" spans="1:26" s="915" customFormat="1" ht="24" customHeight="1">
      <c r="A60" s="904"/>
      <c r="B60" s="930"/>
      <c r="C60" s="905"/>
      <c r="D60" s="906"/>
      <c r="E60" s="907"/>
      <c r="F60" s="918"/>
      <c r="G60" s="906"/>
      <c r="H60" s="909"/>
      <c r="I60" s="909"/>
      <c r="J60" s="909"/>
      <c r="K60" s="909"/>
      <c r="L60" s="909"/>
      <c r="M60" s="909"/>
      <c r="N60" s="909"/>
      <c r="O60" s="909"/>
      <c r="P60" s="909"/>
      <c r="Q60" s="909"/>
      <c r="R60" s="910"/>
      <c r="S60" s="909"/>
      <c r="T60" s="909"/>
      <c r="U60" s="910"/>
      <c r="V60" s="917"/>
      <c r="W60" s="912"/>
      <c r="X60" s="913"/>
      <c r="Y60" s="913"/>
      <c r="Z60" s="913"/>
    </row>
    <row r="61" spans="1:26" s="915" customFormat="1" ht="24" customHeight="1">
      <c r="A61" s="904"/>
      <c r="B61" s="930"/>
      <c r="C61" s="905"/>
      <c r="D61" s="906"/>
      <c r="E61" s="907"/>
      <c r="F61" s="918"/>
      <c r="G61" s="906"/>
      <c r="H61" s="909"/>
      <c r="I61" s="909"/>
      <c r="J61" s="909"/>
      <c r="K61" s="909"/>
      <c r="L61" s="909"/>
      <c r="M61" s="909"/>
      <c r="N61" s="909"/>
      <c r="O61" s="909"/>
      <c r="P61" s="909"/>
      <c r="Q61" s="909"/>
      <c r="R61" s="910"/>
      <c r="S61" s="909"/>
      <c r="T61" s="909"/>
      <c r="U61" s="910"/>
      <c r="V61" s="917"/>
      <c r="W61" s="912"/>
      <c r="X61" s="913"/>
      <c r="Y61" s="913"/>
      <c r="Z61" s="913"/>
    </row>
    <row r="62" spans="1:26" s="915" customFormat="1" ht="24" customHeight="1">
      <c r="A62" s="904"/>
      <c r="B62" s="931"/>
      <c r="C62" s="932"/>
      <c r="D62" s="933"/>
      <c r="E62" s="934"/>
      <c r="F62" s="935"/>
      <c r="G62" s="933"/>
      <c r="H62" s="933"/>
      <c r="I62" s="933"/>
      <c r="J62" s="933"/>
      <c r="K62" s="933"/>
      <c r="L62" s="933"/>
      <c r="M62" s="933"/>
      <c r="N62" s="933"/>
      <c r="O62" s="933"/>
      <c r="P62" s="909"/>
      <c r="Q62" s="933"/>
      <c r="R62" s="936"/>
      <c r="S62" s="933"/>
      <c r="T62" s="933"/>
      <c r="U62" s="936"/>
      <c r="V62" s="937"/>
      <c r="W62" s="912"/>
      <c r="X62" s="913"/>
      <c r="Y62" s="913"/>
      <c r="Z62" s="913"/>
    </row>
    <row r="63" spans="1:26" s="915" customFormat="1" ht="24" customHeight="1">
      <c r="A63" s="904"/>
      <c r="B63" s="931"/>
      <c r="C63" s="932"/>
      <c r="D63" s="933"/>
      <c r="E63" s="934"/>
      <c r="F63" s="935"/>
      <c r="G63" s="933"/>
      <c r="H63" s="933"/>
      <c r="I63" s="933"/>
      <c r="J63" s="933"/>
      <c r="K63" s="933"/>
      <c r="L63" s="933"/>
      <c r="M63" s="933"/>
      <c r="N63" s="933"/>
      <c r="O63" s="933"/>
      <c r="P63" s="933"/>
      <c r="Q63" s="933"/>
      <c r="R63" s="936"/>
      <c r="S63" s="933"/>
      <c r="T63" s="933"/>
      <c r="U63" s="936"/>
      <c r="V63" s="937"/>
      <c r="W63" s="912"/>
      <c r="X63" s="913"/>
      <c r="Y63" s="913"/>
      <c r="Z63" s="913"/>
    </row>
    <row r="64" spans="1:26" s="915" customFormat="1" ht="24" customHeight="1">
      <c r="A64" s="904"/>
      <c r="B64" s="931"/>
      <c r="C64" s="932"/>
      <c r="D64" s="933"/>
      <c r="E64" s="934"/>
      <c r="F64" s="935"/>
      <c r="G64" s="933"/>
      <c r="H64" s="933"/>
      <c r="I64" s="933"/>
      <c r="J64" s="933"/>
      <c r="K64" s="933"/>
      <c r="L64" s="933"/>
      <c r="M64" s="933"/>
      <c r="N64" s="933"/>
      <c r="O64" s="933"/>
      <c r="P64" s="933"/>
      <c r="Q64" s="933"/>
      <c r="R64" s="936"/>
      <c r="S64" s="933"/>
      <c r="T64" s="933"/>
      <c r="U64" s="936"/>
      <c r="V64" s="937"/>
      <c r="W64" s="912"/>
      <c r="X64" s="913"/>
      <c r="Y64" s="913"/>
      <c r="Z64" s="913"/>
    </row>
    <row r="65" spans="1:26" s="915" customFormat="1" ht="24" customHeight="1">
      <c r="A65" s="904"/>
      <c r="B65" s="931"/>
      <c r="C65" s="932"/>
      <c r="D65" s="933"/>
      <c r="E65" s="934"/>
      <c r="F65" s="935"/>
      <c r="G65" s="933"/>
      <c r="H65" s="933"/>
      <c r="I65" s="933"/>
      <c r="J65" s="933"/>
      <c r="K65" s="933"/>
      <c r="L65" s="933"/>
      <c r="M65" s="933"/>
      <c r="N65" s="933"/>
      <c r="O65" s="933"/>
      <c r="P65" s="933"/>
      <c r="Q65" s="933"/>
      <c r="R65" s="936"/>
      <c r="S65" s="933"/>
      <c r="T65" s="933"/>
      <c r="U65" s="936"/>
      <c r="V65" s="937"/>
      <c r="W65" s="912"/>
      <c r="X65" s="913"/>
      <c r="Y65" s="913"/>
      <c r="Z65" s="913"/>
    </row>
    <row r="66" spans="1:26" s="915" customFormat="1" ht="24" customHeight="1">
      <c r="A66" s="904"/>
      <c r="B66" s="931"/>
      <c r="C66" s="932"/>
      <c r="D66" s="933"/>
      <c r="E66" s="934"/>
      <c r="F66" s="935"/>
      <c r="G66" s="933"/>
      <c r="H66" s="933"/>
      <c r="I66" s="933"/>
      <c r="J66" s="933"/>
      <c r="K66" s="933"/>
      <c r="L66" s="933"/>
      <c r="M66" s="933"/>
      <c r="N66" s="933"/>
      <c r="O66" s="933"/>
      <c r="P66" s="933"/>
      <c r="Q66" s="933"/>
      <c r="R66" s="936"/>
      <c r="S66" s="933"/>
      <c r="T66" s="933"/>
      <c r="U66" s="936"/>
      <c r="V66" s="937"/>
      <c r="W66" s="912"/>
      <c r="X66" s="913"/>
      <c r="Y66" s="913"/>
      <c r="Z66" s="913"/>
    </row>
    <row r="67" spans="1:26" s="915" customFormat="1" ht="24" customHeight="1">
      <c r="A67" s="904"/>
      <c r="B67" s="931"/>
      <c r="C67" s="932"/>
      <c r="D67" s="933"/>
      <c r="E67" s="934"/>
      <c r="F67" s="935"/>
      <c r="G67" s="933"/>
      <c r="H67" s="933"/>
      <c r="I67" s="933"/>
      <c r="J67" s="933"/>
      <c r="K67" s="933"/>
      <c r="L67" s="933"/>
      <c r="M67" s="933"/>
      <c r="N67" s="933"/>
      <c r="O67" s="933"/>
      <c r="P67" s="933"/>
      <c r="Q67" s="933"/>
      <c r="R67" s="936"/>
      <c r="S67" s="933"/>
      <c r="T67" s="933"/>
      <c r="U67" s="936"/>
      <c r="V67" s="937"/>
      <c r="W67" s="912"/>
      <c r="X67" s="913"/>
      <c r="Y67" s="913"/>
      <c r="Z67" s="913"/>
    </row>
    <row r="68" spans="1:26" s="915" customFormat="1" ht="24" customHeight="1">
      <c r="A68" s="904"/>
      <c r="B68" s="931"/>
      <c r="C68" s="932"/>
      <c r="D68" s="933"/>
      <c r="E68" s="934"/>
      <c r="F68" s="935"/>
      <c r="G68" s="933"/>
      <c r="H68" s="933"/>
      <c r="I68" s="933"/>
      <c r="J68" s="933"/>
      <c r="K68" s="933"/>
      <c r="L68" s="933"/>
      <c r="M68" s="933"/>
      <c r="N68" s="933"/>
      <c r="O68" s="933"/>
      <c r="P68" s="933"/>
      <c r="Q68" s="933"/>
      <c r="R68" s="936"/>
      <c r="S68" s="933"/>
      <c r="T68" s="933"/>
      <c r="U68" s="936"/>
      <c r="V68" s="937"/>
      <c r="W68" s="912"/>
      <c r="X68" s="913"/>
      <c r="Y68" s="913"/>
      <c r="Z68" s="913"/>
    </row>
    <row r="69" spans="1:26" s="915" customFormat="1" ht="24" customHeight="1">
      <c r="A69" s="904"/>
      <c r="B69" s="931"/>
      <c r="C69" s="932"/>
      <c r="D69" s="933"/>
      <c r="E69" s="934"/>
      <c r="F69" s="935"/>
      <c r="G69" s="933"/>
      <c r="H69" s="933"/>
      <c r="I69" s="933"/>
      <c r="J69" s="933"/>
      <c r="K69" s="933"/>
      <c r="L69" s="933"/>
      <c r="M69" s="933"/>
      <c r="N69" s="933"/>
      <c r="O69" s="933"/>
      <c r="P69" s="933"/>
      <c r="Q69" s="933"/>
      <c r="R69" s="936"/>
      <c r="S69" s="933"/>
      <c r="T69" s="933"/>
      <c r="U69" s="936"/>
      <c r="V69" s="937"/>
      <c r="W69" s="912"/>
      <c r="X69" s="913"/>
      <c r="Y69" s="913"/>
      <c r="Z69" s="913"/>
    </row>
    <row r="70" spans="1:26" s="915" customFormat="1" ht="24" customHeight="1">
      <c r="A70" s="904"/>
      <c r="B70" s="938" t="s">
        <v>285</v>
      </c>
      <c r="C70" s="939"/>
      <c r="D70" s="920"/>
      <c r="E70" s="940"/>
      <c r="F70" s="920">
        <f aca="true" t="shared" si="3" ref="F70:U70">IF(SUM(F8:F61)=0,"",SUM(F8:F61))</f>
      </c>
      <c r="G70" s="920">
        <f t="shared" si="3"/>
      </c>
      <c r="H70" s="920">
        <f t="shared" si="3"/>
      </c>
      <c r="I70" s="920">
        <f t="shared" si="3"/>
      </c>
      <c r="J70" s="920">
        <f t="shared" si="3"/>
      </c>
      <c r="K70" s="920">
        <f t="shared" si="3"/>
      </c>
      <c r="L70" s="920">
        <f t="shared" si="3"/>
      </c>
      <c r="M70" s="920">
        <f t="shared" si="3"/>
      </c>
      <c r="N70" s="920">
        <f t="shared" si="3"/>
      </c>
      <c r="O70" s="920">
        <f t="shared" si="3"/>
      </c>
      <c r="P70" s="920">
        <f t="shared" si="3"/>
      </c>
      <c r="Q70" s="920">
        <f t="shared" si="3"/>
      </c>
      <c r="R70" s="941">
        <f t="shared" si="3"/>
      </c>
      <c r="S70" s="920">
        <f t="shared" si="3"/>
      </c>
      <c r="T70" s="920">
        <f t="shared" si="3"/>
      </c>
      <c r="U70" s="941">
        <f t="shared" si="3"/>
      </c>
      <c r="V70" s="942"/>
      <c r="W70" s="912"/>
      <c r="X70" s="913"/>
      <c r="Y70" s="913"/>
      <c r="Z70" s="913"/>
    </row>
    <row r="71" spans="1:26" s="885" customFormat="1" ht="24" customHeight="1" thickBot="1">
      <c r="A71" s="881"/>
      <c r="B71" s="901"/>
      <c r="C71" s="943"/>
      <c r="D71" s="944"/>
      <c r="E71" s="945"/>
      <c r="F71" s="946"/>
      <c r="G71" s="947"/>
      <c r="H71" s="947"/>
      <c r="I71" s="947"/>
      <c r="J71" s="947"/>
      <c r="K71" s="947"/>
      <c r="L71" s="947"/>
      <c r="M71" s="947"/>
      <c r="N71" s="947"/>
      <c r="O71" s="947"/>
      <c r="P71" s="947"/>
      <c r="Q71" s="947"/>
      <c r="R71" s="948"/>
      <c r="S71" s="947"/>
      <c r="T71" s="947"/>
      <c r="U71" s="948"/>
      <c r="V71" s="949"/>
      <c r="W71" s="895"/>
      <c r="X71" s="879"/>
      <c r="Y71" s="879"/>
      <c r="Z71" s="879"/>
    </row>
    <row r="72" spans="1:26" s="885" customFormat="1" ht="24" customHeight="1">
      <c r="A72" s="881"/>
      <c r="B72" s="893"/>
      <c r="C72" s="950" t="s">
        <v>14</v>
      </c>
      <c r="D72" s="951" t="s">
        <v>14</v>
      </c>
      <c r="E72" s="952" t="s">
        <v>14</v>
      </c>
      <c r="F72" s="953" t="s">
        <v>133</v>
      </c>
      <c r="G72" s="951" t="s">
        <v>133</v>
      </c>
      <c r="H72" s="951" t="s">
        <v>133</v>
      </c>
      <c r="I72" s="951" t="s">
        <v>133</v>
      </c>
      <c r="J72" s="951" t="s">
        <v>13</v>
      </c>
      <c r="K72" s="951" t="s">
        <v>13</v>
      </c>
      <c r="L72" s="951" t="s">
        <v>13</v>
      </c>
      <c r="M72" s="951" t="s">
        <v>13</v>
      </c>
      <c r="N72" s="951" t="s">
        <v>13</v>
      </c>
      <c r="O72" s="951" t="s">
        <v>13</v>
      </c>
      <c r="P72" s="951" t="s">
        <v>556</v>
      </c>
      <c r="Q72" s="951" t="s">
        <v>557</v>
      </c>
      <c r="R72" s="954" t="s">
        <v>558</v>
      </c>
      <c r="S72" s="951" t="s">
        <v>556</v>
      </c>
      <c r="T72" s="951" t="s">
        <v>557</v>
      </c>
      <c r="U72" s="954"/>
      <c r="V72" s="900"/>
      <c r="W72" s="895"/>
      <c r="X72" s="879"/>
      <c r="Y72" s="879"/>
      <c r="Z72" s="879"/>
    </row>
    <row r="73" spans="1:26" s="885" customFormat="1" ht="24" customHeight="1">
      <c r="A73" s="881"/>
      <c r="B73" s="893" t="s">
        <v>0</v>
      </c>
      <c r="C73" s="896" t="s">
        <v>535</v>
      </c>
      <c r="D73" s="897" t="s">
        <v>536</v>
      </c>
      <c r="E73" s="955" t="s">
        <v>537</v>
      </c>
      <c r="F73" s="956" t="s">
        <v>538</v>
      </c>
      <c r="G73" s="897" t="s">
        <v>539</v>
      </c>
      <c r="H73" s="897" t="s">
        <v>540</v>
      </c>
      <c r="I73" s="897" t="s">
        <v>541</v>
      </c>
      <c r="J73" s="897" t="s">
        <v>559</v>
      </c>
      <c r="K73" s="897" t="s">
        <v>560</v>
      </c>
      <c r="L73" s="897" t="s">
        <v>541</v>
      </c>
      <c r="M73" s="897" t="s">
        <v>559</v>
      </c>
      <c r="N73" s="897" t="s">
        <v>560</v>
      </c>
      <c r="O73" s="897" t="s">
        <v>541</v>
      </c>
      <c r="P73" s="1822" t="s">
        <v>561</v>
      </c>
      <c r="Q73" s="1823"/>
      <c r="R73" s="898" t="s">
        <v>545</v>
      </c>
      <c r="S73" s="1824" t="s">
        <v>546</v>
      </c>
      <c r="T73" s="1825"/>
      <c r="U73" s="899"/>
      <c r="V73" s="900" t="s">
        <v>2</v>
      </c>
      <c r="W73" s="895"/>
      <c r="X73" s="879"/>
      <c r="Y73" s="879"/>
      <c r="Z73" s="879"/>
    </row>
    <row r="74" spans="1:26" s="885" customFormat="1" ht="24" customHeight="1" thickBot="1">
      <c r="A74" s="881"/>
      <c r="B74" s="957"/>
      <c r="C74" s="1826" t="s">
        <v>530</v>
      </c>
      <c r="D74" s="1827"/>
      <c r="E74" s="1827"/>
      <c r="F74" s="1827"/>
      <c r="G74" s="1827"/>
      <c r="H74" s="1827"/>
      <c r="I74" s="1828"/>
      <c r="J74" s="1829" t="s">
        <v>531</v>
      </c>
      <c r="K74" s="1830"/>
      <c r="L74" s="1831"/>
      <c r="M74" s="1832" t="s">
        <v>532</v>
      </c>
      <c r="N74" s="1830"/>
      <c r="O74" s="1830"/>
      <c r="P74" s="1817" t="s">
        <v>533</v>
      </c>
      <c r="Q74" s="1818"/>
      <c r="R74" s="1819"/>
      <c r="S74" s="1817" t="s">
        <v>534</v>
      </c>
      <c r="T74" s="1818"/>
      <c r="U74" s="1819"/>
      <c r="V74" s="902"/>
      <c r="W74" s="895"/>
      <c r="X74" s="879"/>
      <c r="Y74" s="879"/>
      <c r="Z74" s="879"/>
    </row>
    <row r="75" spans="1:23" ht="14.25">
      <c r="A75" s="958"/>
      <c r="B75" s="958"/>
      <c r="C75" s="958"/>
      <c r="D75" s="958"/>
      <c r="E75" s="959"/>
      <c r="F75" s="958"/>
      <c r="G75" s="958"/>
      <c r="H75" s="958"/>
      <c r="I75" s="958"/>
      <c r="J75" s="958"/>
      <c r="K75" s="958"/>
      <c r="L75" s="958"/>
      <c r="M75" s="958"/>
      <c r="N75" s="958"/>
      <c r="O75" s="958"/>
      <c r="P75" s="958"/>
      <c r="Q75" s="958"/>
      <c r="R75" s="958"/>
      <c r="S75" s="958"/>
      <c r="T75" s="958"/>
      <c r="U75" s="958"/>
      <c r="V75" s="960"/>
      <c r="W75" s="961"/>
    </row>
  </sheetData>
  <sheetProtection/>
  <mergeCells count="15">
    <mergeCell ref="B2:V2"/>
    <mergeCell ref="C5:I5"/>
    <mergeCell ref="J5:L5"/>
    <mergeCell ref="M5:O5"/>
    <mergeCell ref="P5:R5"/>
    <mergeCell ref="S5:U5"/>
    <mergeCell ref="S74:U74"/>
    <mergeCell ref="P6:Q6"/>
    <mergeCell ref="S6:T6"/>
    <mergeCell ref="P73:Q73"/>
    <mergeCell ref="S73:T73"/>
    <mergeCell ref="C74:I74"/>
    <mergeCell ref="J74:L74"/>
    <mergeCell ref="M74:O74"/>
    <mergeCell ref="P74:R74"/>
  </mergeCells>
  <printOptions horizontalCentered="1" verticalCentered="1"/>
  <pageMargins left="0.4724409448818898" right="0" top="0.5905511811023623" bottom="0.1968503937007874" header="0" footer="0"/>
  <pageSetup horizontalDpi="300" verticalDpi="300" orientation="portrait" paperSize="9" scale="4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0"/>
  <sheetViews>
    <sheetView showZeros="0" view="pageBreakPreview" zoomScale="60" zoomScaleNormal="75" zoomScalePageLayoutView="0" workbookViewId="0" topLeftCell="A1">
      <selection activeCell="Z15" sqref="Z15"/>
    </sheetView>
  </sheetViews>
  <sheetFormatPr defaultColWidth="10.875" defaultRowHeight="13.5"/>
  <cols>
    <col min="1" max="1" width="4.625" style="1396" customWidth="1"/>
    <col min="2" max="2" width="7.50390625" style="1396" customWidth="1"/>
    <col min="3" max="3" width="8.125" style="1396" bestFit="1" customWidth="1"/>
    <col min="4" max="4" width="10.625" style="1397" customWidth="1"/>
    <col min="5" max="5" width="9.00390625" style="1396" customWidth="1"/>
    <col min="6" max="6" width="11.75390625" style="1396" customWidth="1"/>
    <col min="7" max="7" width="9.00390625" style="1396" customWidth="1"/>
    <col min="8" max="8" width="9.75390625" style="1396" bestFit="1" customWidth="1"/>
    <col min="9" max="9" width="8.50390625" style="1396" customWidth="1"/>
    <col min="10" max="21" width="7.75390625" style="1396" customWidth="1"/>
    <col min="22" max="22" width="8.00390625" style="1396" customWidth="1"/>
    <col min="23" max="23" width="12.125" style="1396" customWidth="1"/>
    <col min="24" max="24" width="2.75390625" style="1396" customWidth="1"/>
    <col min="25" max="25" width="15.125" style="1396" bestFit="1" customWidth="1"/>
    <col min="26" max="16384" width="10.875" style="1396" customWidth="1"/>
  </cols>
  <sheetData>
    <row r="1" spans="1:7" ht="17.25">
      <c r="A1" s="1395" t="s">
        <v>450</v>
      </c>
      <c r="F1" s="1398" t="s">
        <v>451</v>
      </c>
      <c r="G1" s="1398" t="s">
        <v>452</v>
      </c>
    </row>
    <row r="3" spans="2:22" ht="17.25">
      <c r="B3" s="1399"/>
      <c r="C3" s="1399"/>
      <c r="D3" s="1400"/>
      <c r="E3" s="1399"/>
      <c r="F3" s="1401"/>
      <c r="G3" s="1401"/>
      <c r="H3" s="1401"/>
      <c r="I3" s="1399"/>
      <c r="J3" s="1399"/>
      <c r="K3" s="1399"/>
      <c r="L3" s="1399"/>
      <c r="M3" s="1399"/>
      <c r="N3" s="1399"/>
      <c r="O3" s="1399"/>
      <c r="P3" s="1399"/>
      <c r="Q3" s="1401"/>
      <c r="R3" s="1399"/>
      <c r="S3" s="1399"/>
      <c r="T3" s="1399"/>
      <c r="U3" s="1401"/>
      <c r="V3" s="1401"/>
    </row>
    <row r="4" spans="2:26" ht="17.25">
      <c r="B4" s="1402" t="s">
        <v>453</v>
      </c>
      <c r="C4" s="1402"/>
      <c r="D4" s="1403"/>
      <c r="E4" s="1404"/>
      <c r="F4" s="1405"/>
      <c r="G4" s="1406"/>
      <c r="H4" s="1406">
        <f>IF(SUM(I4:M4)=0,"",SUM(I4:M4))</f>
      </c>
      <c r="I4" s="1404"/>
      <c r="J4" s="1404"/>
      <c r="K4" s="1404"/>
      <c r="L4" s="1404"/>
      <c r="M4" s="1404"/>
      <c r="N4" s="1404"/>
      <c r="O4" s="1404"/>
      <c r="P4" s="1404"/>
      <c r="Q4" s="1405">
        <f>IF(SUM(N4:P4)=0,"",SUM(N4:P4))</f>
      </c>
      <c r="R4" s="1404"/>
      <c r="S4" s="1404"/>
      <c r="T4" s="1404"/>
      <c r="U4" s="1405">
        <f>IF(SUM(R4:T4)=0,"",SUM(R4:T4))</f>
      </c>
      <c r="V4" s="1406" t="e">
        <f>IF((Q4+U4)=0,"",Q4+U4)</f>
        <v>#VALUE!</v>
      </c>
      <c r="W4" s="1407"/>
      <c r="X4" s="1408"/>
      <c r="Y4" s="1409"/>
      <c r="Z4" s="1409"/>
    </row>
    <row r="5" spans="23:26" ht="17.25">
      <c r="W5" s="1409"/>
      <c r="X5" s="1409"/>
      <c r="Y5" s="1409"/>
      <c r="Z5" s="1409"/>
    </row>
    <row r="6" spans="10:26" ht="34.5" customHeight="1">
      <c r="J6" s="1410" t="s">
        <v>515</v>
      </c>
      <c r="W6" s="1409"/>
      <c r="X6" s="1409"/>
      <c r="Y6" s="1409"/>
      <c r="Z6" s="1409"/>
    </row>
    <row r="7" spans="2:26" ht="35.25" customHeight="1" thickBot="1">
      <c r="B7" s="1411" t="s">
        <v>516</v>
      </c>
      <c r="C7" s="1412">
        <v>1</v>
      </c>
      <c r="D7" s="1411" t="s">
        <v>477</v>
      </c>
      <c r="E7" s="1413"/>
      <c r="F7" s="1414"/>
      <c r="G7" s="1414"/>
      <c r="H7" s="1414"/>
      <c r="I7" s="1414"/>
      <c r="J7" s="1414"/>
      <c r="K7" s="1414"/>
      <c r="L7" s="1414"/>
      <c r="M7" s="1414"/>
      <c r="N7" s="1414"/>
      <c r="O7" s="1414"/>
      <c r="P7" s="1414"/>
      <c r="Q7" s="1414"/>
      <c r="R7" s="1414"/>
      <c r="S7" s="1414"/>
      <c r="T7" s="1414"/>
      <c r="U7" s="1413"/>
      <c r="V7" s="1414"/>
      <c r="W7" s="1415"/>
      <c r="X7" s="1408"/>
      <c r="Y7" s="1409"/>
      <c r="Z7" s="1409"/>
    </row>
    <row r="8" spans="2:26" ht="30" customHeight="1">
      <c r="B8" s="1865" t="s">
        <v>478</v>
      </c>
      <c r="C8" s="1865" t="s">
        <v>479</v>
      </c>
      <c r="D8" s="1870" t="s">
        <v>480</v>
      </c>
      <c r="E8" s="1873" t="s">
        <v>454</v>
      </c>
      <c r="F8" s="1857" t="s">
        <v>481</v>
      </c>
      <c r="G8" s="1860" t="s">
        <v>482</v>
      </c>
      <c r="H8" s="1876" t="s">
        <v>483</v>
      </c>
      <c r="I8" s="1877"/>
      <c r="J8" s="1877"/>
      <c r="K8" s="1877"/>
      <c r="L8" s="1877"/>
      <c r="M8" s="1881"/>
      <c r="N8" s="1882" t="s">
        <v>562</v>
      </c>
      <c r="O8" s="1877"/>
      <c r="P8" s="1877"/>
      <c r="Q8" s="1878"/>
      <c r="R8" s="1876" t="s">
        <v>563</v>
      </c>
      <c r="S8" s="1877"/>
      <c r="T8" s="1877"/>
      <c r="U8" s="1878"/>
      <c r="V8" s="1846" t="s">
        <v>484</v>
      </c>
      <c r="W8" s="1849" t="s">
        <v>455</v>
      </c>
      <c r="X8" s="1416"/>
      <c r="Y8" s="1417"/>
      <c r="Z8" s="1409"/>
    </row>
    <row r="9" spans="2:26" ht="30" customHeight="1">
      <c r="B9" s="1866"/>
      <c r="C9" s="1868"/>
      <c r="D9" s="1871"/>
      <c r="E9" s="1874"/>
      <c r="F9" s="1858"/>
      <c r="G9" s="1861"/>
      <c r="H9" s="1879" t="s">
        <v>564</v>
      </c>
      <c r="I9" s="1418" t="s">
        <v>456</v>
      </c>
      <c r="J9" s="1418" t="s">
        <v>457</v>
      </c>
      <c r="K9" s="1418" t="s">
        <v>458</v>
      </c>
      <c r="L9" s="1418" t="s">
        <v>459</v>
      </c>
      <c r="M9" s="1418" t="s">
        <v>460</v>
      </c>
      <c r="N9" s="1419" t="s">
        <v>461</v>
      </c>
      <c r="O9" s="1418" t="s">
        <v>462</v>
      </c>
      <c r="P9" s="1418" t="s">
        <v>463</v>
      </c>
      <c r="Q9" s="1880" t="s">
        <v>464</v>
      </c>
      <c r="R9" s="1418" t="s">
        <v>461</v>
      </c>
      <c r="S9" s="1418" t="s">
        <v>462</v>
      </c>
      <c r="T9" s="1418" t="s">
        <v>463</v>
      </c>
      <c r="U9" s="1880" t="s">
        <v>464</v>
      </c>
      <c r="V9" s="1847"/>
      <c r="W9" s="1850"/>
      <c r="X9" s="1420"/>
      <c r="Y9" s="1417"/>
      <c r="Z9" s="1409"/>
    </row>
    <row r="10" spans="2:26" ht="30" customHeight="1" thickBot="1">
      <c r="B10" s="1867"/>
      <c r="C10" s="1869"/>
      <c r="D10" s="1872"/>
      <c r="E10" s="1875"/>
      <c r="F10" s="1859"/>
      <c r="G10" s="1862"/>
      <c r="H10" s="1864"/>
      <c r="I10" s="1421" t="s">
        <v>465</v>
      </c>
      <c r="J10" s="1421" t="s">
        <v>466</v>
      </c>
      <c r="K10" s="1421" t="s">
        <v>467</v>
      </c>
      <c r="L10" s="1421" t="s">
        <v>468</v>
      </c>
      <c r="M10" s="1421" t="s">
        <v>469</v>
      </c>
      <c r="N10" s="1422" t="s">
        <v>470</v>
      </c>
      <c r="O10" s="1421" t="s">
        <v>471</v>
      </c>
      <c r="P10" s="1421" t="s">
        <v>472</v>
      </c>
      <c r="Q10" s="1845"/>
      <c r="R10" s="1421" t="s">
        <v>470</v>
      </c>
      <c r="S10" s="1421" t="s">
        <v>471</v>
      </c>
      <c r="T10" s="1421" t="s">
        <v>472</v>
      </c>
      <c r="U10" s="1845"/>
      <c r="V10" s="1848"/>
      <c r="W10" s="1851"/>
      <c r="X10" s="1420"/>
      <c r="Y10" s="1423" t="s">
        <v>473</v>
      </c>
      <c r="Z10" s="1424" t="s">
        <v>474</v>
      </c>
    </row>
    <row r="11" spans="2:26" ht="30" customHeight="1">
      <c r="B11" s="1425"/>
      <c r="C11" s="1426" t="s">
        <v>565</v>
      </c>
      <c r="D11" s="1427" t="s">
        <v>742</v>
      </c>
      <c r="E11" s="1428" t="s">
        <v>742</v>
      </c>
      <c r="F11" s="1429" t="s">
        <v>565</v>
      </c>
      <c r="G11" s="1430" t="s">
        <v>566</v>
      </c>
      <c r="H11" s="1431" t="s">
        <v>742</v>
      </c>
      <c r="I11" s="1431" t="s">
        <v>742</v>
      </c>
      <c r="J11" s="1431" t="s">
        <v>742</v>
      </c>
      <c r="K11" s="1431" t="s">
        <v>742</v>
      </c>
      <c r="L11" s="1431" t="s">
        <v>742</v>
      </c>
      <c r="M11" s="1431" t="s">
        <v>742</v>
      </c>
      <c r="N11" s="1429" t="s">
        <v>566</v>
      </c>
      <c r="O11" s="1430" t="s">
        <v>566</v>
      </c>
      <c r="P11" s="1430" t="s">
        <v>566</v>
      </c>
      <c r="Q11" s="1430" t="s">
        <v>566</v>
      </c>
      <c r="R11" s="1430" t="s">
        <v>566</v>
      </c>
      <c r="S11" s="1430" t="s">
        <v>566</v>
      </c>
      <c r="T11" s="1430" t="s">
        <v>566</v>
      </c>
      <c r="U11" s="1430" t="s">
        <v>566</v>
      </c>
      <c r="V11" s="1432" t="s">
        <v>475</v>
      </c>
      <c r="W11" s="1433"/>
      <c r="X11" s="1434"/>
      <c r="Y11" s="1417"/>
      <c r="Z11" s="1409"/>
    </row>
    <row r="12" spans="2:28" ht="31.5" customHeight="1">
      <c r="B12" s="1435"/>
      <c r="C12" s="1436"/>
      <c r="D12" s="1437"/>
      <c r="E12" s="1438"/>
      <c r="F12" s="1439"/>
      <c r="G12" s="1438"/>
      <c r="H12" s="1440"/>
      <c r="I12" s="1441">
        <f aca="true" t="shared" si="0" ref="I12:I58">IF(OR(($F12*$G12)=0,$H12=0),"",IF(($F12*$G12)&lt;=40,$H12,""))</f>
      </c>
      <c r="J12" s="1441">
        <f>IF(OR(($F12*$G12)=0,$H12=0),"",IF(AND(($F12*$G12)&gt;40,($F12*$G12)&lt;=80),$H12,""))</f>
      </c>
      <c r="K12" s="1441">
        <f aca="true" t="shared" si="1" ref="K12:K58">IF(OR(($F12*$G12)=0,$H12=0),"",IF(AND(($F12*$G12)&gt;80,($F12*$G12)&lt;=120),$H12,""))</f>
      </c>
      <c r="L12" s="1441">
        <f aca="true" t="shared" si="2" ref="L12:L58">IF(OR(($F12*$G12)=0,$H12=0),"",IF(AND(($F12*$G12)&gt;120,($F12*$G12)&lt;=160),$H12,""))</f>
      </c>
      <c r="M12" s="1441">
        <f aca="true" t="shared" si="3" ref="M12:M58">IF(OR(($F12*$G12)=0,$H12=0),"",IF(($F12*$G12)&gt;160,$H12,""))</f>
      </c>
      <c r="N12" s="1442"/>
      <c r="O12" s="1438"/>
      <c r="P12" s="1438"/>
      <c r="Q12" s="1441">
        <f aca="true" t="shared" si="4" ref="Q12:Q58">N12+O12+P12</f>
        <v>0</v>
      </c>
      <c r="R12" s="1438"/>
      <c r="S12" s="1438"/>
      <c r="T12" s="1438"/>
      <c r="U12" s="1441">
        <f aca="true" t="shared" si="5" ref="U12:U58">R12+S12+T12</f>
        <v>0</v>
      </c>
      <c r="V12" s="1441">
        <f aca="true" t="shared" si="6" ref="V12:V58">IF((Q12+U12)=0,"",Q12+U12)</f>
      </c>
      <c r="W12" s="1443"/>
      <c r="X12" s="1444"/>
      <c r="Y12" s="1417"/>
      <c r="Z12" s="1409">
        <f>IF(OR($D12=0,O12=0),"",$D12/O12)</f>
      </c>
      <c r="AA12" s="1396" t="s">
        <v>567</v>
      </c>
      <c r="AB12" s="1396">
        <f>SUMIF(W12:W59,AA12,H12:H58)</f>
        <v>0</v>
      </c>
    </row>
    <row r="13" spans="2:28" ht="31.5" customHeight="1">
      <c r="B13" s="1435"/>
      <c r="C13" s="1436"/>
      <c r="D13" s="1437"/>
      <c r="E13" s="1438"/>
      <c r="F13" s="1439"/>
      <c r="G13" s="1438"/>
      <c r="H13" s="1440"/>
      <c r="I13" s="1441">
        <f t="shared" si="0"/>
      </c>
      <c r="J13" s="1441">
        <f aca="true" t="shared" si="7" ref="J13:J58">IF(OR(($F13*$G13)=0,$H13=0),"",IF(AND(($F13*$G13)&gt;40,($F13*$G13)&lt;=80),$H13,""))</f>
      </c>
      <c r="K13" s="1441">
        <f t="shared" si="1"/>
      </c>
      <c r="L13" s="1441">
        <f t="shared" si="2"/>
      </c>
      <c r="M13" s="1441">
        <f t="shared" si="3"/>
      </c>
      <c r="N13" s="1442"/>
      <c r="O13" s="1438"/>
      <c r="P13" s="1438"/>
      <c r="Q13" s="1441">
        <f t="shared" si="4"/>
        <v>0</v>
      </c>
      <c r="R13" s="1438"/>
      <c r="S13" s="1438"/>
      <c r="T13" s="1438"/>
      <c r="U13" s="1441">
        <f t="shared" si="5"/>
        <v>0</v>
      </c>
      <c r="V13" s="1441">
        <f t="shared" si="6"/>
      </c>
      <c r="W13" s="1443"/>
      <c r="X13" s="1444"/>
      <c r="Y13" s="1417"/>
      <c r="Z13" s="1409">
        <f>IF(OR($D13=0,O13=0),"",$D13/O13)</f>
      </c>
      <c r="AA13" s="1396" t="s">
        <v>568</v>
      </c>
      <c r="AB13" s="1396">
        <f>SUMIF(W12:W59,AA13,H12:H58)</f>
        <v>0</v>
      </c>
    </row>
    <row r="14" spans="2:28" ht="31.5" customHeight="1">
      <c r="B14" s="1435"/>
      <c r="C14" s="1436"/>
      <c r="D14" s="1437"/>
      <c r="E14" s="1438"/>
      <c r="F14" s="1439"/>
      <c r="G14" s="1438"/>
      <c r="H14" s="1440"/>
      <c r="I14" s="1441">
        <f t="shared" si="0"/>
      </c>
      <c r="J14" s="1441">
        <f t="shared" si="7"/>
      </c>
      <c r="K14" s="1441">
        <f t="shared" si="1"/>
      </c>
      <c r="L14" s="1441">
        <f t="shared" si="2"/>
      </c>
      <c r="M14" s="1441">
        <f t="shared" si="3"/>
      </c>
      <c r="N14" s="1442"/>
      <c r="O14" s="1438"/>
      <c r="P14" s="1438"/>
      <c r="Q14" s="1441">
        <f t="shared" si="4"/>
        <v>0</v>
      </c>
      <c r="R14" s="1438"/>
      <c r="S14" s="1438"/>
      <c r="T14" s="1438"/>
      <c r="U14" s="1441">
        <f t="shared" si="5"/>
        <v>0</v>
      </c>
      <c r="V14" s="1441">
        <f t="shared" si="6"/>
      </c>
      <c r="W14" s="1443"/>
      <c r="X14" s="1444"/>
      <c r="Y14" s="1417"/>
      <c r="Z14" s="1409"/>
      <c r="AA14" s="1396" t="s">
        <v>569</v>
      </c>
      <c r="AB14" s="1396">
        <f>SUMIF(W12:W59,AA14,E12:E58)</f>
        <v>0</v>
      </c>
    </row>
    <row r="15" spans="2:28" ht="31.5" customHeight="1">
      <c r="B15" s="1435"/>
      <c r="C15" s="1436"/>
      <c r="D15" s="1437"/>
      <c r="E15" s="1438"/>
      <c r="F15" s="1439"/>
      <c r="G15" s="1438"/>
      <c r="H15" s="1440"/>
      <c r="I15" s="1441">
        <f t="shared" si="0"/>
      </c>
      <c r="J15" s="1441">
        <f t="shared" si="7"/>
      </c>
      <c r="K15" s="1441">
        <f t="shared" si="1"/>
      </c>
      <c r="L15" s="1441">
        <f t="shared" si="2"/>
      </c>
      <c r="M15" s="1441">
        <f t="shared" si="3"/>
      </c>
      <c r="N15" s="1442"/>
      <c r="O15" s="1438"/>
      <c r="P15" s="1438"/>
      <c r="Q15" s="1441">
        <f t="shared" si="4"/>
        <v>0</v>
      </c>
      <c r="R15" s="1438"/>
      <c r="S15" s="1438"/>
      <c r="T15" s="1438"/>
      <c r="U15" s="1441">
        <f t="shared" si="5"/>
        <v>0</v>
      </c>
      <c r="V15" s="1441">
        <f t="shared" si="6"/>
      </c>
      <c r="W15" s="1443"/>
      <c r="X15" s="1444"/>
      <c r="Y15" s="1417"/>
      <c r="Z15" s="1409"/>
      <c r="AB15" s="1396">
        <f>SUM(AB12:AB14)</f>
        <v>0</v>
      </c>
    </row>
    <row r="16" spans="2:26" ht="31.5" customHeight="1">
      <c r="B16" s="1435"/>
      <c r="C16" s="1436"/>
      <c r="D16" s="1437"/>
      <c r="E16" s="1438"/>
      <c r="F16" s="1439"/>
      <c r="G16" s="1438"/>
      <c r="H16" s="1440"/>
      <c r="I16" s="1441">
        <f t="shared" si="0"/>
      </c>
      <c r="J16" s="1441">
        <f t="shared" si="7"/>
      </c>
      <c r="K16" s="1441">
        <f t="shared" si="1"/>
      </c>
      <c r="L16" s="1441">
        <f t="shared" si="2"/>
      </c>
      <c r="M16" s="1441">
        <f t="shared" si="3"/>
      </c>
      <c r="N16" s="1442"/>
      <c r="O16" s="1438"/>
      <c r="P16" s="1438"/>
      <c r="Q16" s="1441">
        <f t="shared" si="4"/>
        <v>0</v>
      </c>
      <c r="R16" s="1438"/>
      <c r="S16" s="1438"/>
      <c r="T16" s="1438"/>
      <c r="U16" s="1441">
        <f t="shared" si="5"/>
        <v>0</v>
      </c>
      <c r="V16" s="1441">
        <f t="shared" si="6"/>
      </c>
      <c r="W16" s="1443"/>
      <c r="X16" s="1444"/>
      <c r="Y16" s="1417"/>
      <c r="Z16" s="1409"/>
    </row>
    <row r="17" spans="2:26" ht="31.5" customHeight="1">
      <c r="B17" s="1435"/>
      <c r="C17" s="1436"/>
      <c r="D17" s="1437"/>
      <c r="E17" s="1438"/>
      <c r="F17" s="1439"/>
      <c r="G17" s="1438"/>
      <c r="H17" s="1440"/>
      <c r="I17" s="1441">
        <f t="shared" si="0"/>
      </c>
      <c r="J17" s="1441">
        <f t="shared" si="7"/>
      </c>
      <c r="K17" s="1441">
        <f t="shared" si="1"/>
      </c>
      <c r="L17" s="1441">
        <f t="shared" si="2"/>
      </c>
      <c r="M17" s="1441">
        <f t="shared" si="3"/>
      </c>
      <c r="N17" s="1442"/>
      <c r="O17" s="1438"/>
      <c r="P17" s="1438"/>
      <c r="Q17" s="1441">
        <f t="shared" si="4"/>
        <v>0</v>
      </c>
      <c r="R17" s="1438"/>
      <c r="S17" s="1438"/>
      <c r="T17" s="1438"/>
      <c r="U17" s="1441">
        <f t="shared" si="5"/>
        <v>0</v>
      </c>
      <c r="V17" s="1441">
        <f t="shared" si="6"/>
      </c>
      <c r="W17" s="1443"/>
      <c r="X17" s="1444"/>
      <c r="Y17" s="1417"/>
      <c r="Z17" s="1409"/>
    </row>
    <row r="18" spans="2:26" ht="31.5" customHeight="1">
      <c r="B18" s="1435"/>
      <c r="C18" s="1436"/>
      <c r="D18" s="1437"/>
      <c r="E18" s="1438"/>
      <c r="F18" s="1439"/>
      <c r="G18" s="1438"/>
      <c r="H18" s="1440"/>
      <c r="I18" s="1441">
        <f t="shared" si="0"/>
      </c>
      <c r="J18" s="1441">
        <f t="shared" si="7"/>
      </c>
      <c r="K18" s="1441">
        <f t="shared" si="1"/>
      </c>
      <c r="L18" s="1441">
        <f t="shared" si="2"/>
      </c>
      <c r="M18" s="1441">
        <f t="shared" si="3"/>
      </c>
      <c r="N18" s="1442"/>
      <c r="O18" s="1438"/>
      <c r="P18" s="1438"/>
      <c r="Q18" s="1441">
        <f t="shared" si="4"/>
        <v>0</v>
      </c>
      <c r="R18" s="1438"/>
      <c r="S18" s="1438"/>
      <c r="T18" s="1438"/>
      <c r="U18" s="1441">
        <f t="shared" si="5"/>
        <v>0</v>
      </c>
      <c r="V18" s="1441">
        <f t="shared" si="6"/>
      </c>
      <c r="W18" s="1443"/>
      <c r="X18" s="1444"/>
      <c r="Y18" s="1417"/>
      <c r="Z18" s="1409"/>
    </row>
    <row r="19" spans="2:26" ht="31.5" customHeight="1">
      <c r="B19" s="1435"/>
      <c r="C19" s="1436"/>
      <c r="D19" s="1437"/>
      <c r="E19" s="1438"/>
      <c r="F19" s="1439"/>
      <c r="G19" s="1438"/>
      <c r="H19" s="1440"/>
      <c r="I19" s="1441">
        <f t="shared" si="0"/>
      </c>
      <c r="J19" s="1441">
        <f t="shared" si="7"/>
      </c>
      <c r="K19" s="1441">
        <f t="shared" si="1"/>
      </c>
      <c r="L19" s="1441">
        <f t="shared" si="2"/>
      </c>
      <c r="M19" s="1441">
        <f t="shared" si="3"/>
      </c>
      <c r="N19" s="1442"/>
      <c r="O19" s="1438"/>
      <c r="P19" s="1438"/>
      <c r="Q19" s="1441">
        <f t="shared" si="4"/>
        <v>0</v>
      </c>
      <c r="R19" s="1438"/>
      <c r="S19" s="1438"/>
      <c r="T19" s="1438"/>
      <c r="U19" s="1441">
        <f t="shared" si="5"/>
        <v>0</v>
      </c>
      <c r="V19" s="1441">
        <f t="shared" si="6"/>
      </c>
      <c r="W19" s="1443"/>
      <c r="X19" s="1444"/>
      <c r="Y19" s="1417"/>
      <c r="Z19" s="1409"/>
    </row>
    <row r="20" spans="2:26" ht="31.5" customHeight="1">
      <c r="B20" s="1435"/>
      <c r="C20" s="1436"/>
      <c r="D20" s="1437"/>
      <c r="E20" s="1438"/>
      <c r="F20" s="1439"/>
      <c r="G20" s="1438"/>
      <c r="H20" s="1440"/>
      <c r="I20" s="1441">
        <f t="shared" si="0"/>
      </c>
      <c r="J20" s="1441">
        <f t="shared" si="7"/>
      </c>
      <c r="K20" s="1441">
        <f t="shared" si="1"/>
      </c>
      <c r="L20" s="1441">
        <f t="shared" si="2"/>
      </c>
      <c r="M20" s="1441">
        <f t="shared" si="3"/>
      </c>
      <c r="N20" s="1442"/>
      <c r="O20" s="1438"/>
      <c r="P20" s="1438"/>
      <c r="Q20" s="1441">
        <f t="shared" si="4"/>
        <v>0</v>
      </c>
      <c r="R20" s="1438"/>
      <c r="S20" s="1438"/>
      <c r="T20" s="1438"/>
      <c r="U20" s="1441">
        <f t="shared" si="5"/>
        <v>0</v>
      </c>
      <c r="V20" s="1441">
        <f t="shared" si="6"/>
      </c>
      <c r="W20" s="1443"/>
      <c r="X20" s="1444"/>
      <c r="Y20" s="1417"/>
      <c r="Z20" s="1409"/>
    </row>
    <row r="21" spans="2:26" ht="31.5" customHeight="1">
      <c r="B21" s="1435"/>
      <c r="C21" s="1436"/>
      <c r="D21" s="1437"/>
      <c r="E21" s="1438"/>
      <c r="F21" s="1439"/>
      <c r="G21" s="1438"/>
      <c r="H21" s="1440"/>
      <c r="I21" s="1441">
        <f t="shared" si="0"/>
      </c>
      <c r="J21" s="1441">
        <f t="shared" si="7"/>
      </c>
      <c r="K21" s="1441">
        <f t="shared" si="1"/>
      </c>
      <c r="L21" s="1441">
        <f t="shared" si="2"/>
      </c>
      <c r="M21" s="1441">
        <f t="shared" si="3"/>
      </c>
      <c r="N21" s="1442"/>
      <c r="O21" s="1438"/>
      <c r="P21" s="1438"/>
      <c r="Q21" s="1441">
        <f t="shared" si="4"/>
        <v>0</v>
      </c>
      <c r="R21" s="1438"/>
      <c r="S21" s="1438"/>
      <c r="T21" s="1438"/>
      <c r="U21" s="1441">
        <f t="shared" si="5"/>
        <v>0</v>
      </c>
      <c r="V21" s="1441">
        <f t="shared" si="6"/>
      </c>
      <c r="W21" s="1443"/>
      <c r="X21" s="1444"/>
      <c r="Y21" s="1417"/>
      <c r="Z21" s="1409"/>
    </row>
    <row r="22" spans="2:26" ht="31.5" customHeight="1">
      <c r="B22" s="1435"/>
      <c r="C22" s="1436"/>
      <c r="D22" s="1437"/>
      <c r="E22" s="1438"/>
      <c r="F22" s="1439"/>
      <c r="G22" s="1438"/>
      <c r="H22" s="1440"/>
      <c r="I22" s="1441">
        <f t="shared" si="0"/>
      </c>
      <c r="J22" s="1441">
        <f t="shared" si="7"/>
      </c>
      <c r="K22" s="1441">
        <f t="shared" si="1"/>
      </c>
      <c r="L22" s="1441">
        <f t="shared" si="2"/>
      </c>
      <c r="M22" s="1441">
        <f t="shared" si="3"/>
      </c>
      <c r="N22" s="1442"/>
      <c r="O22" s="1438"/>
      <c r="P22" s="1438"/>
      <c r="Q22" s="1441">
        <f t="shared" si="4"/>
        <v>0</v>
      </c>
      <c r="R22" s="1438"/>
      <c r="S22" s="1438"/>
      <c r="T22" s="1438"/>
      <c r="U22" s="1441">
        <f t="shared" si="5"/>
        <v>0</v>
      </c>
      <c r="V22" s="1441">
        <f t="shared" si="6"/>
      </c>
      <c r="W22" s="1443"/>
      <c r="X22" s="1444"/>
      <c r="Y22" s="1417"/>
      <c r="Z22" s="1409"/>
    </row>
    <row r="23" spans="2:26" ht="31.5" customHeight="1">
      <c r="B23" s="1435"/>
      <c r="C23" s="1436"/>
      <c r="D23" s="1437"/>
      <c r="E23" s="1438"/>
      <c r="F23" s="1439"/>
      <c r="G23" s="1438"/>
      <c r="H23" s="1440"/>
      <c r="I23" s="1441">
        <f t="shared" si="0"/>
      </c>
      <c r="J23" s="1441">
        <f t="shared" si="7"/>
      </c>
      <c r="K23" s="1441">
        <f t="shared" si="1"/>
      </c>
      <c r="L23" s="1441">
        <f t="shared" si="2"/>
      </c>
      <c r="M23" s="1441">
        <f t="shared" si="3"/>
      </c>
      <c r="N23" s="1442"/>
      <c r="O23" s="1438"/>
      <c r="P23" s="1438"/>
      <c r="Q23" s="1441">
        <f t="shared" si="4"/>
        <v>0</v>
      </c>
      <c r="R23" s="1438"/>
      <c r="S23" s="1438"/>
      <c r="T23" s="1438"/>
      <c r="U23" s="1441">
        <f t="shared" si="5"/>
        <v>0</v>
      </c>
      <c r="V23" s="1441">
        <f t="shared" si="6"/>
      </c>
      <c r="W23" s="1443"/>
      <c r="X23" s="1444"/>
      <c r="Y23" s="1417"/>
      <c r="Z23" s="1409"/>
    </row>
    <row r="24" spans="2:26" ht="31.5" customHeight="1">
      <c r="B24" s="1435"/>
      <c r="C24" s="1436"/>
      <c r="D24" s="1437"/>
      <c r="E24" s="1438"/>
      <c r="F24" s="1439"/>
      <c r="G24" s="1438"/>
      <c r="H24" s="1440"/>
      <c r="I24" s="1441">
        <f t="shared" si="0"/>
      </c>
      <c r="J24" s="1441">
        <f t="shared" si="7"/>
      </c>
      <c r="K24" s="1441">
        <f t="shared" si="1"/>
      </c>
      <c r="L24" s="1441">
        <f t="shared" si="2"/>
      </c>
      <c r="M24" s="1441">
        <f t="shared" si="3"/>
      </c>
      <c r="N24" s="1442"/>
      <c r="O24" s="1438"/>
      <c r="P24" s="1438"/>
      <c r="Q24" s="1441">
        <f t="shared" si="4"/>
        <v>0</v>
      </c>
      <c r="R24" s="1438"/>
      <c r="S24" s="1438"/>
      <c r="T24" s="1438"/>
      <c r="U24" s="1441">
        <f t="shared" si="5"/>
        <v>0</v>
      </c>
      <c r="V24" s="1441">
        <f t="shared" si="6"/>
      </c>
      <c r="W24" s="1443"/>
      <c r="X24" s="1444"/>
      <c r="Y24" s="1417"/>
      <c r="Z24" s="1409"/>
    </row>
    <row r="25" spans="2:26" ht="31.5" customHeight="1">
      <c r="B25" s="1435"/>
      <c r="C25" s="1436"/>
      <c r="D25" s="1437"/>
      <c r="E25" s="1438"/>
      <c r="F25" s="1439"/>
      <c r="G25" s="1438"/>
      <c r="H25" s="1440"/>
      <c r="I25" s="1441">
        <f t="shared" si="0"/>
      </c>
      <c r="J25" s="1441">
        <f t="shared" si="7"/>
      </c>
      <c r="K25" s="1441">
        <f t="shared" si="1"/>
      </c>
      <c r="L25" s="1441">
        <f t="shared" si="2"/>
      </c>
      <c r="M25" s="1441">
        <f t="shared" si="3"/>
      </c>
      <c r="N25" s="1442"/>
      <c r="O25" s="1438"/>
      <c r="P25" s="1438"/>
      <c r="Q25" s="1441">
        <f t="shared" si="4"/>
        <v>0</v>
      </c>
      <c r="R25" s="1438"/>
      <c r="S25" s="1438"/>
      <c r="T25" s="1438"/>
      <c r="U25" s="1441">
        <f t="shared" si="5"/>
        <v>0</v>
      </c>
      <c r="V25" s="1441">
        <f t="shared" si="6"/>
      </c>
      <c r="W25" s="1443"/>
      <c r="X25" s="1444"/>
      <c r="Y25" s="1417"/>
      <c r="Z25" s="1409"/>
    </row>
    <row r="26" spans="2:26" ht="31.5" customHeight="1">
      <c r="B26" s="1435"/>
      <c r="C26" s="1436"/>
      <c r="D26" s="1437"/>
      <c r="E26" s="1438"/>
      <c r="F26" s="1439"/>
      <c r="G26" s="1438"/>
      <c r="H26" s="1440"/>
      <c r="I26" s="1441">
        <f t="shared" si="0"/>
      </c>
      <c r="J26" s="1441">
        <f t="shared" si="7"/>
      </c>
      <c r="K26" s="1441">
        <f t="shared" si="1"/>
      </c>
      <c r="L26" s="1441">
        <f t="shared" si="2"/>
      </c>
      <c r="M26" s="1441">
        <f t="shared" si="3"/>
      </c>
      <c r="N26" s="1442"/>
      <c r="O26" s="1438"/>
      <c r="P26" s="1438"/>
      <c r="Q26" s="1441">
        <f t="shared" si="4"/>
        <v>0</v>
      </c>
      <c r="R26" s="1438"/>
      <c r="S26" s="1438"/>
      <c r="T26" s="1438"/>
      <c r="U26" s="1441">
        <f t="shared" si="5"/>
        <v>0</v>
      </c>
      <c r="V26" s="1441">
        <f t="shared" si="6"/>
      </c>
      <c r="W26" s="1443"/>
      <c r="X26" s="1444"/>
      <c r="Y26" s="1417"/>
      <c r="Z26" s="1409"/>
    </row>
    <row r="27" spans="2:26" ht="31.5" customHeight="1">
      <c r="B27" s="1435"/>
      <c r="C27" s="1436"/>
      <c r="D27" s="1437"/>
      <c r="E27" s="1438"/>
      <c r="F27" s="1439"/>
      <c r="G27" s="1438"/>
      <c r="H27" s="1440"/>
      <c r="I27" s="1441">
        <f t="shared" si="0"/>
      </c>
      <c r="J27" s="1441">
        <f t="shared" si="7"/>
      </c>
      <c r="K27" s="1441">
        <f t="shared" si="1"/>
      </c>
      <c r="L27" s="1441">
        <f t="shared" si="2"/>
      </c>
      <c r="M27" s="1441">
        <f t="shared" si="3"/>
      </c>
      <c r="N27" s="1442"/>
      <c r="O27" s="1438"/>
      <c r="P27" s="1438"/>
      <c r="Q27" s="1441">
        <f t="shared" si="4"/>
        <v>0</v>
      </c>
      <c r="R27" s="1438"/>
      <c r="S27" s="1438"/>
      <c r="T27" s="1438"/>
      <c r="U27" s="1441">
        <f t="shared" si="5"/>
        <v>0</v>
      </c>
      <c r="V27" s="1441">
        <f t="shared" si="6"/>
      </c>
      <c r="W27" s="1443"/>
      <c r="X27" s="1444"/>
      <c r="Y27" s="1417"/>
      <c r="Z27" s="1409"/>
    </row>
    <row r="28" spans="2:26" ht="31.5" customHeight="1">
      <c r="B28" s="1435"/>
      <c r="C28" s="1436"/>
      <c r="D28" s="1437"/>
      <c r="E28" s="1438"/>
      <c r="F28" s="1439"/>
      <c r="G28" s="1438"/>
      <c r="H28" s="1440"/>
      <c r="I28" s="1441">
        <f t="shared" si="0"/>
      </c>
      <c r="J28" s="1441">
        <f t="shared" si="7"/>
      </c>
      <c r="K28" s="1441">
        <f t="shared" si="1"/>
      </c>
      <c r="L28" s="1441">
        <f t="shared" si="2"/>
      </c>
      <c r="M28" s="1441">
        <f t="shared" si="3"/>
      </c>
      <c r="N28" s="1442"/>
      <c r="O28" s="1438"/>
      <c r="P28" s="1438"/>
      <c r="Q28" s="1441">
        <f t="shared" si="4"/>
        <v>0</v>
      </c>
      <c r="R28" s="1438"/>
      <c r="S28" s="1438"/>
      <c r="T28" s="1438"/>
      <c r="U28" s="1441">
        <f t="shared" si="5"/>
        <v>0</v>
      </c>
      <c r="V28" s="1441">
        <f t="shared" si="6"/>
      </c>
      <c r="W28" s="1443"/>
      <c r="X28" s="1444"/>
      <c r="Y28" s="1417"/>
      <c r="Z28" s="1409"/>
    </row>
    <row r="29" spans="2:26" ht="31.5" customHeight="1">
      <c r="B29" s="1435"/>
      <c r="C29" s="1436"/>
      <c r="D29" s="1437"/>
      <c r="E29" s="1438"/>
      <c r="F29" s="1439"/>
      <c r="G29" s="1438"/>
      <c r="H29" s="1440"/>
      <c r="I29" s="1441">
        <f t="shared" si="0"/>
      </c>
      <c r="J29" s="1441">
        <f t="shared" si="7"/>
      </c>
      <c r="K29" s="1441">
        <f t="shared" si="1"/>
      </c>
      <c r="L29" s="1441">
        <f t="shared" si="2"/>
      </c>
      <c r="M29" s="1441">
        <f t="shared" si="3"/>
      </c>
      <c r="N29" s="1442"/>
      <c r="O29" s="1438"/>
      <c r="P29" s="1438"/>
      <c r="Q29" s="1441">
        <f t="shared" si="4"/>
        <v>0</v>
      </c>
      <c r="R29" s="1438"/>
      <c r="S29" s="1438"/>
      <c r="T29" s="1438"/>
      <c r="U29" s="1441">
        <f t="shared" si="5"/>
        <v>0</v>
      </c>
      <c r="V29" s="1441">
        <f t="shared" si="6"/>
      </c>
      <c r="W29" s="1443"/>
      <c r="X29" s="1444"/>
      <c r="Y29" s="1417"/>
      <c r="Z29" s="1409"/>
    </row>
    <row r="30" spans="2:26" ht="31.5" customHeight="1">
      <c r="B30" s="1435"/>
      <c r="C30" s="1436"/>
      <c r="D30" s="1437"/>
      <c r="E30" s="1438"/>
      <c r="F30" s="1439"/>
      <c r="G30" s="1438"/>
      <c r="H30" s="1440"/>
      <c r="I30" s="1441">
        <f t="shared" si="0"/>
      </c>
      <c r="J30" s="1441">
        <f t="shared" si="7"/>
      </c>
      <c r="K30" s="1441">
        <f t="shared" si="1"/>
      </c>
      <c r="L30" s="1441">
        <f t="shared" si="2"/>
      </c>
      <c r="M30" s="1441">
        <f t="shared" si="3"/>
      </c>
      <c r="N30" s="1442"/>
      <c r="O30" s="1438"/>
      <c r="P30" s="1438"/>
      <c r="Q30" s="1441">
        <f t="shared" si="4"/>
        <v>0</v>
      </c>
      <c r="R30" s="1438"/>
      <c r="S30" s="1438"/>
      <c r="T30" s="1438"/>
      <c r="U30" s="1441">
        <f t="shared" si="5"/>
        <v>0</v>
      </c>
      <c r="V30" s="1441">
        <f t="shared" si="6"/>
      </c>
      <c r="W30" s="1443"/>
      <c r="X30" s="1444"/>
      <c r="Y30" s="1417"/>
      <c r="Z30" s="1409"/>
    </row>
    <row r="31" spans="2:26" ht="31.5" customHeight="1">
      <c r="B31" s="1435"/>
      <c r="C31" s="1436"/>
      <c r="D31" s="1437"/>
      <c r="E31" s="1438"/>
      <c r="F31" s="1439"/>
      <c r="G31" s="1438"/>
      <c r="H31" s="1440"/>
      <c r="I31" s="1441">
        <f t="shared" si="0"/>
      </c>
      <c r="J31" s="1441">
        <f t="shared" si="7"/>
      </c>
      <c r="K31" s="1441">
        <f t="shared" si="1"/>
      </c>
      <c r="L31" s="1441">
        <f t="shared" si="2"/>
      </c>
      <c r="M31" s="1441">
        <f t="shared" si="3"/>
      </c>
      <c r="N31" s="1442"/>
      <c r="O31" s="1438"/>
      <c r="P31" s="1438"/>
      <c r="Q31" s="1441">
        <f t="shared" si="4"/>
        <v>0</v>
      </c>
      <c r="R31" s="1438"/>
      <c r="S31" s="1438"/>
      <c r="T31" s="1438"/>
      <c r="U31" s="1441">
        <f t="shared" si="5"/>
        <v>0</v>
      </c>
      <c r="V31" s="1441">
        <f t="shared" si="6"/>
      </c>
      <c r="W31" s="1443"/>
      <c r="X31" s="1444"/>
      <c r="Y31" s="1417"/>
      <c r="Z31" s="1409"/>
    </row>
    <row r="32" spans="2:26" ht="31.5" customHeight="1">
      <c r="B32" s="1435"/>
      <c r="C32" s="1436"/>
      <c r="D32" s="1437"/>
      <c r="E32" s="1438"/>
      <c r="F32" s="1439"/>
      <c r="G32" s="1438"/>
      <c r="H32" s="1440"/>
      <c r="I32" s="1441">
        <f t="shared" si="0"/>
      </c>
      <c r="J32" s="1441">
        <f t="shared" si="7"/>
      </c>
      <c r="K32" s="1441">
        <f t="shared" si="1"/>
      </c>
      <c r="L32" s="1441">
        <f t="shared" si="2"/>
      </c>
      <c r="M32" s="1441">
        <f t="shared" si="3"/>
      </c>
      <c r="N32" s="1442"/>
      <c r="O32" s="1438"/>
      <c r="P32" s="1438"/>
      <c r="Q32" s="1441">
        <f t="shared" si="4"/>
        <v>0</v>
      </c>
      <c r="R32" s="1438"/>
      <c r="S32" s="1438"/>
      <c r="T32" s="1438"/>
      <c r="U32" s="1441">
        <f t="shared" si="5"/>
        <v>0</v>
      </c>
      <c r="V32" s="1441">
        <f t="shared" si="6"/>
      </c>
      <c r="W32" s="1443"/>
      <c r="X32" s="1444"/>
      <c r="Y32" s="1417"/>
      <c r="Z32" s="1409"/>
    </row>
    <row r="33" spans="2:26" ht="31.5" customHeight="1">
      <c r="B33" s="1435"/>
      <c r="C33" s="1436"/>
      <c r="D33" s="1437"/>
      <c r="E33" s="1438"/>
      <c r="F33" s="1439"/>
      <c r="G33" s="1438"/>
      <c r="H33" s="1440"/>
      <c r="I33" s="1441">
        <f t="shared" si="0"/>
      </c>
      <c r="J33" s="1441">
        <f t="shared" si="7"/>
      </c>
      <c r="K33" s="1441">
        <f t="shared" si="1"/>
      </c>
      <c r="L33" s="1441">
        <f t="shared" si="2"/>
      </c>
      <c r="M33" s="1441">
        <f t="shared" si="3"/>
      </c>
      <c r="N33" s="1442"/>
      <c r="O33" s="1438"/>
      <c r="P33" s="1438"/>
      <c r="Q33" s="1441">
        <f t="shared" si="4"/>
        <v>0</v>
      </c>
      <c r="R33" s="1438"/>
      <c r="S33" s="1438"/>
      <c r="T33" s="1438"/>
      <c r="U33" s="1441">
        <f t="shared" si="5"/>
        <v>0</v>
      </c>
      <c r="V33" s="1441">
        <f t="shared" si="6"/>
      </c>
      <c r="W33" s="1443"/>
      <c r="X33" s="1444"/>
      <c r="Y33" s="1417"/>
      <c r="Z33" s="1409"/>
    </row>
    <row r="34" spans="2:26" ht="31.5" customHeight="1">
      <c r="B34" s="1435"/>
      <c r="C34" s="1436"/>
      <c r="D34" s="1437"/>
      <c r="E34" s="1438"/>
      <c r="F34" s="1439"/>
      <c r="G34" s="1438"/>
      <c r="H34" s="1440"/>
      <c r="I34" s="1441">
        <f t="shared" si="0"/>
      </c>
      <c r="J34" s="1441">
        <f t="shared" si="7"/>
      </c>
      <c r="K34" s="1441">
        <f t="shared" si="1"/>
      </c>
      <c r="L34" s="1441">
        <f t="shared" si="2"/>
      </c>
      <c r="M34" s="1441">
        <f t="shared" si="3"/>
      </c>
      <c r="N34" s="1442"/>
      <c r="O34" s="1438"/>
      <c r="P34" s="1438"/>
      <c r="Q34" s="1441">
        <f t="shared" si="4"/>
        <v>0</v>
      </c>
      <c r="R34" s="1438"/>
      <c r="S34" s="1438"/>
      <c r="T34" s="1438"/>
      <c r="U34" s="1441">
        <f t="shared" si="5"/>
        <v>0</v>
      </c>
      <c r="V34" s="1441">
        <f t="shared" si="6"/>
      </c>
      <c r="W34" s="1443"/>
      <c r="X34" s="1444"/>
      <c r="Y34" s="1417"/>
      <c r="Z34" s="1409"/>
    </row>
    <row r="35" spans="2:26" ht="31.5" customHeight="1">
      <c r="B35" s="1435"/>
      <c r="C35" s="1436"/>
      <c r="D35" s="1437"/>
      <c r="E35" s="1438"/>
      <c r="F35" s="1439"/>
      <c r="G35" s="1438"/>
      <c r="H35" s="1440"/>
      <c r="I35" s="1441">
        <f t="shared" si="0"/>
      </c>
      <c r="J35" s="1441">
        <f t="shared" si="7"/>
      </c>
      <c r="K35" s="1441">
        <f t="shared" si="1"/>
      </c>
      <c r="L35" s="1441">
        <f t="shared" si="2"/>
      </c>
      <c r="M35" s="1441">
        <f t="shared" si="3"/>
      </c>
      <c r="N35" s="1442"/>
      <c r="O35" s="1438"/>
      <c r="P35" s="1438"/>
      <c r="Q35" s="1441">
        <f t="shared" si="4"/>
        <v>0</v>
      </c>
      <c r="R35" s="1438"/>
      <c r="S35" s="1438"/>
      <c r="T35" s="1438"/>
      <c r="U35" s="1441">
        <f t="shared" si="5"/>
        <v>0</v>
      </c>
      <c r="V35" s="1441">
        <f t="shared" si="6"/>
      </c>
      <c r="W35" s="1443"/>
      <c r="X35" s="1444"/>
      <c r="Y35" s="1417"/>
      <c r="Z35" s="1409"/>
    </row>
    <row r="36" spans="2:26" ht="31.5" customHeight="1">
      <c r="B36" s="1435"/>
      <c r="C36" s="1436"/>
      <c r="D36" s="1437"/>
      <c r="E36" s="1438"/>
      <c r="F36" s="1439"/>
      <c r="G36" s="1438"/>
      <c r="H36" s="1440"/>
      <c r="I36" s="1441">
        <f t="shared" si="0"/>
      </c>
      <c r="J36" s="1441">
        <f t="shared" si="7"/>
      </c>
      <c r="K36" s="1441">
        <f t="shared" si="1"/>
      </c>
      <c r="L36" s="1441">
        <f t="shared" si="2"/>
      </c>
      <c r="M36" s="1441">
        <f t="shared" si="3"/>
      </c>
      <c r="N36" s="1442"/>
      <c r="O36" s="1438"/>
      <c r="P36" s="1438"/>
      <c r="Q36" s="1441">
        <f t="shared" si="4"/>
        <v>0</v>
      </c>
      <c r="R36" s="1438"/>
      <c r="S36" s="1438"/>
      <c r="T36" s="1438"/>
      <c r="U36" s="1441">
        <f t="shared" si="5"/>
        <v>0</v>
      </c>
      <c r="V36" s="1441">
        <f t="shared" si="6"/>
      </c>
      <c r="W36" s="1443"/>
      <c r="X36" s="1444"/>
      <c r="Y36" s="1417"/>
      <c r="Z36" s="1409"/>
    </row>
    <row r="37" spans="2:26" ht="31.5" customHeight="1">
      <c r="B37" s="1435"/>
      <c r="C37" s="1436"/>
      <c r="D37" s="1437"/>
      <c r="E37" s="1438"/>
      <c r="F37" s="1439"/>
      <c r="G37" s="1438"/>
      <c r="H37" s="1440"/>
      <c r="I37" s="1441">
        <f t="shared" si="0"/>
      </c>
      <c r="J37" s="1441">
        <f t="shared" si="7"/>
      </c>
      <c r="K37" s="1441">
        <f t="shared" si="1"/>
      </c>
      <c r="L37" s="1441">
        <f t="shared" si="2"/>
      </c>
      <c r="M37" s="1441">
        <f t="shared" si="3"/>
      </c>
      <c r="N37" s="1442"/>
      <c r="O37" s="1438"/>
      <c r="P37" s="1438"/>
      <c r="Q37" s="1441">
        <f t="shared" si="4"/>
        <v>0</v>
      </c>
      <c r="R37" s="1438"/>
      <c r="S37" s="1438"/>
      <c r="T37" s="1438"/>
      <c r="U37" s="1441">
        <f t="shared" si="5"/>
        <v>0</v>
      </c>
      <c r="V37" s="1441">
        <f t="shared" si="6"/>
      </c>
      <c r="W37" s="1443"/>
      <c r="X37" s="1444"/>
      <c r="Y37" s="1417"/>
      <c r="Z37" s="1409"/>
    </row>
    <row r="38" spans="2:26" ht="31.5" customHeight="1">
      <c r="B38" s="1435"/>
      <c r="C38" s="1436"/>
      <c r="D38" s="1437"/>
      <c r="E38" s="1438"/>
      <c r="F38" s="1439"/>
      <c r="G38" s="1438"/>
      <c r="H38" s="1440"/>
      <c r="I38" s="1441">
        <f t="shared" si="0"/>
      </c>
      <c r="J38" s="1441">
        <f t="shared" si="7"/>
      </c>
      <c r="K38" s="1441">
        <f t="shared" si="1"/>
      </c>
      <c r="L38" s="1441">
        <f t="shared" si="2"/>
      </c>
      <c r="M38" s="1441">
        <f t="shared" si="3"/>
      </c>
      <c r="N38" s="1442"/>
      <c r="O38" s="1438"/>
      <c r="P38" s="1438"/>
      <c r="Q38" s="1441">
        <f t="shared" si="4"/>
        <v>0</v>
      </c>
      <c r="R38" s="1438"/>
      <c r="S38" s="1438"/>
      <c r="T38" s="1438"/>
      <c r="U38" s="1441">
        <f t="shared" si="5"/>
        <v>0</v>
      </c>
      <c r="V38" s="1441">
        <f t="shared" si="6"/>
      </c>
      <c r="W38" s="1443"/>
      <c r="X38" s="1444"/>
      <c r="Y38" s="1417"/>
      <c r="Z38" s="1409">
        <f aca="true" t="shared" si="8" ref="Z38:Z50">IF(OR($D38=0,O38=0),"",$D38/O38)</f>
      </c>
    </row>
    <row r="39" spans="2:26" ht="31.5" customHeight="1">
      <c r="B39" s="1435"/>
      <c r="C39" s="1436"/>
      <c r="D39" s="1437"/>
      <c r="E39" s="1438"/>
      <c r="F39" s="1439"/>
      <c r="G39" s="1438"/>
      <c r="H39" s="1440"/>
      <c r="I39" s="1441">
        <f t="shared" si="0"/>
      </c>
      <c r="J39" s="1441">
        <f t="shared" si="7"/>
      </c>
      <c r="K39" s="1441">
        <f t="shared" si="1"/>
      </c>
      <c r="L39" s="1441">
        <f t="shared" si="2"/>
      </c>
      <c r="M39" s="1441">
        <f t="shared" si="3"/>
      </c>
      <c r="N39" s="1442"/>
      <c r="O39" s="1438"/>
      <c r="P39" s="1438"/>
      <c r="Q39" s="1441">
        <f t="shared" si="4"/>
        <v>0</v>
      </c>
      <c r="R39" s="1438"/>
      <c r="S39" s="1438"/>
      <c r="T39" s="1438"/>
      <c r="U39" s="1441">
        <f t="shared" si="5"/>
        <v>0</v>
      </c>
      <c r="V39" s="1441">
        <f t="shared" si="6"/>
      </c>
      <c r="W39" s="1443"/>
      <c r="X39" s="1444"/>
      <c r="Y39" s="1417"/>
      <c r="Z39" s="1409">
        <f t="shared" si="8"/>
      </c>
    </row>
    <row r="40" spans="2:26" ht="31.5" customHeight="1">
      <c r="B40" s="1435"/>
      <c r="C40" s="1436"/>
      <c r="D40" s="1437"/>
      <c r="E40" s="1438"/>
      <c r="F40" s="1439"/>
      <c r="G40" s="1438"/>
      <c r="H40" s="1440"/>
      <c r="I40" s="1441">
        <f t="shared" si="0"/>
      </c>
      <c r="J40" s="1441">
        <f t="shared" si="7"/>
      </c>
      <c r="K40" s="1441">
        <f t="shared" si="1"/>
      </c>
      <c r="L40" s="1441">
        <f t="shared" si="2"/>
      </c>
      <c r="M40" s="1441">
        <f t="shared" si="3"/>
      </c>
      <c r="N40" s="1442"/>
      <c r="O40" s="1438"/>
      <c r="P40" s="1438"/>
      <c r="Q40" s="1441">
        <f t="shared" si="4"/>
        <v>0</v>
      </c>
      <c r="R40" s="1438"/>
      <c r="S40" s="1438"/>
      <c r="T40" s="1438"/>
      <c r="U40" s="1441">
        <f t="shared" si="5"/>
        <v>0</v>
      </c>
      <c r="V40" s="1441">
        <f t="shared" si="6"/>
      </c>
      <c r="W40" s="1443"/>
      <c r="X40" s="1444"/>
      <c r="Y40" s="1417"/>
      <c r="Z40" s="1409">
        <f t="shared" si="8"/>
      </c>
    </row>
    <row r="41" spans="2:26" ht="31.5" customHeight="1">
      <c r="B41" s="1435"/>
      <c r="C41" s="1436"/>
      <c r="D41" s="1437"/>
      <c r="E41" s="1438"/>
      <c r="F41" s="1439"/>
      <c r="G41" s="1438"/>
      <c r="H41" s="1438"/>
      <c r="I41" s="1441">
        <f t="shared" si="0"/>
      </c>
      <c r="J41" s="1441">
        <f t="shared" si="7"/>
      </c>
      <c r="K41" s="1441">
        <f t="shared" si="1"/>
      </c>
      <c r="L41" s="1441">
        <f t="shared" si="2"/>
      </c>
      <c r="M41" s="1441">
        <f t="shared" si="3"/>
      </c>
      <c r="N41" s="1442"/>
      <c r="O41" s="1438"/>
      <c r="P41" s="1438"/>
      <c r="Q41" s="1441">
        <f t="shared" si="4"/>
        <v>0</v>
      </c>
      <c r="R41" s="1438"/>
      <c r="S41" s="1438"/>
      <c r="T41" s="1438"/>
      <c r="U41" s="1441">
        <f t="shared" si="5"/>
        <v>0</v>
      </c>
      <c r="V41" s="1441">
        <f t="shared" si="6"/>
      </c>
      <c r="W41" s="1443"/>
      <c r="X41" s="1444"/>
      <c r="Y41" s="1417"/>
      <c r="Z41" s="1409">
        <f t="shared" si="8"/>
      </c>
    </row>
    <row r="42" spans="2:26" ht="31.5" customHeight="1">
      <c r="B42" s="1435"/>
      <c r="C42" s="1436"/>
      <c r="D42" s="1437"/>
      <c r="E42" s="1438"/>
      <c r="F42" s="1439"/>
      <c r="G42" s="1438"/>
      <c r="H42" s="1440"/>
      <c r="I42" s="1441">
        <f t="shared" si="0"/>
      </c>
      <c r="J42" s="1441">
        <f t="shared" si="7"/>
      </c>
      <c r="K42" s="1441">
        <f t="shared" si="1"/>
      </c>
      <c r="L42" s="1441">
        <f t="shared" si="2"/>
      </c>
      <c r="M42" s="1441">
        <f t="shared" si="3"/>
      </c>
      <c r="N42" s="1442"/>
      <c r="O42" s="1438"/>
      <c r="P42" s="1438"/>
      <c r="Q42" s="1441">
        <f t="shared" si="4"/>
        <v>0</v>
      </c>
      <c r="R42" s="1438"/>
      <c r="S42" s="1438"/>
      <c r="T42" s="1438"/>
      <c r="U42" s="1441">
        <f t="shared" si="5"/>
        <v>0</v>
      </c>
      <c r="V42" s="1441">
        <f t="shared" si="6"/>
      </c>
      <c r="W42" s="1443"/>
      <c r="X42" s="1444"/>
      <c r="Y42" s="1417"/>
      <c r="Z42" s="1409">
        <f t="shared" si="8"/>
      </c>
    </row>
    <row r="43" spans="2:26" ht="31.5" customHeight="1">
      <c r="B43" s="1435"/>
      <c r="C43" s="1436"/>
      <c r="D43" s="1437"/>
      <c r="E43" s="1438"/>
      <c r="F43" s="1439"/>
      <c r="G43" s="1438"/>
      <c r="H43" s="1440"/>
      <c r="I43" s="1441">
        <f t="shared" si="0"/>
      </c>
      <c r="J43" s="1441">
        <f t="shared" si="7"/>
      </c>
      <c r="K43" s="1441">
        <f t="shared" si="1"/>
      </c>
      <c r="L43" s="1441">
        <f t="shared" si="2"/>
      </c>
      <c r="M43" s="1441">
        <f t="shared" si="3"/>
      </c>
      <c r="N43" s="1442"/>
      <c r="O43" s="1438"/>
      <c r="P43" s="1438"/>
      <c r="Q43" s="1441">
        <f t="shared" si="4"/>
        <v>0</v>
      </c>
      <c r="R43" s="1438"/>
      <c r="S43" s="1438"/>
      <c r="T43" s="1438"/>
      <c r="U43" s="1441">
        <f t="shared" si="5"/>
        <v>0</v>
      </c>
      <c r="V43" s="1441">
        <f t="shared" si="6"/>
      </c>
      <c r="W43" s="1443"/>
      <c r="X43" s="1444"/>
      <c r="Y43" s="1417"/>
      <c r="Z43" s="1409">
        <f t="shared" si="8"/>
      </c>
    </row>
    <row r="44" spans="2:26" ht="31.5" customHeight="1">
      <c r="B44" s="1435"/>
      <c r="C44" s="1436"/>
      <c r="D44" s="1437"/>
      <c r="E44" s="1438"/>
      <c r="F44" s="1439"/>
      <c r="G44" s="1438"/>
      <c r="H44" s="1440"/>
      <c r="I44" s="1441">
        <f t="shared" si="0"/>
      </c>
      <c r="J44" s="1441">
        <f t="shared" si="7"/>
      </c>
      <c r="K44" s="1441">
        <f t="shared" si="1"/>
      </c>
      <c r="L44" s="1441">
        <f t="shared" si="2"/>
      </c>
      <c r="M44" s="1441">
        <f t="shared" si="3"/>
      </c>
      <c r="N44" s="1442"/>
      <c r="O44" s="1438"/>
      <c r="P44" s="1438"/>
      <c r="Q44" s="1441">
        <f t="shared" si="4"/>
        <v>0</v>
      </c>
      <c r="R44" s="1438"/>
      <c r="S44" s="1438"/>
      <c r="T44" s="1438"/>
      <c r="U44" s="1441">
        <f t="shared" si="5"/>
        <v>0</v>
      </c>
      <c r="V44" s="1441">
        <f t="shared" si="6"/>
      </c>
      <c r="W44" s="1443"/>
      <c r="X44" s="1444"/>
      <c r="Y44" s="1417"/>
      <c r="Z44" s="1409">
        <f t="shared" si="8"/>
      </c>
    </row>
    <row r="45" spans="2:26" ht="31.5" customHeight="1">
      <c r="B45" s="1435"/>
      <c r="C45" s="1436"/>
      <c r="D45" s="1437">
        <f>C45</f>
        <v>0</v>
      </c>
      <c r="E45" s="1438"/>
      <c r="F45" s="1445"/>
      <c r="G45" s="1446"/>
      <c r="H45" s="1438"/>
      <c r="I45" s="1441">
        <f t="shared" si="0"/>
      </c>
      <c r="J45" s="1441">
        <f t="shared" si="7"/>
      </c>
      <c r="K45" s="1441">
        <f t="shared" si="1"/>
      </c>
      <c r="L45" s="1441">
        <f t="shared" si="2"/>
      </c>
      <c r="M45" s="1441">
        <f t="shared" si="3"/>
      </c>
      <c r="N45" s="1442"/>
      <c r="O45" s="1438"/>
      <c r="P45" s="1438"/>
      <c r="Q45" s="1441">
        <f t="shared" si="4"/>
        <v>0</v>
      </c>
      <c r="R45" s="1438"/>
      <c r="S45" s="1438"/>
      <c r="T45" s="1438"/>
      <c r="U45" s="1441">
        <f t="shared" si="5"/>
        <v>0</v>
      </c>
      <c r="V45" s="1441">
        <f t="shared" si="6"/>
      </c>
      <c r="W45" s="1443"/>
      <c r="X45" s="1444"/>
      <c r="Y45" s="1417">
        <f>IF(OR($D45=0,K45=0),"",$D45/K45)</f>
      </c>
      <c r="Z45" s="1409">
        <f t="shared" si="8"/>
      </c>
    </row>
    <row r="46" spans="2:26" ht="31.5" customHeight="1">
      <c r="B46" s="1435"/>
      <c r="C46" s="1436"/>
      <c r="D46" s="1447"/>
      <c r="E46" s="1438"/>
      <c r="F46" s="1439"/>
      <c r="G46" s="1448"/>
      <c r="H46" s="1438"/>
      <c r="I46" s="1441">
        <f t="shared" si="0"/>
      </c>
      <c r="J46" s="1441">
        <f t="shared" si="7"/>
      </c>
      <c r="K46" s="1441">
        <f t="shared" si="1"/>
      </c>
      <c r="L46" s="1441">
        <f t="shared" si="2"/>
      </c>
      <c r="M46" s="1441">
        <f t="shared" si="3"/>
      </c>
      <c r="N46" s="1442"/>
      <c r="O46" s="1438"/>
      <c r="P46" s="1438"/>
      <c r="Q46" s="1441">
        <f t="shared" si="4"/>
        <v>0</v>
      </c>
      <c r="R46" s="1438"/>
      <c r="S46" s="1438"/>
      <c r="T46" s="1438"/>
      <c r="U46" s="1441">
        <f t="shared" si="5"/>
        <v>0</v>
      </c>
      <c r="V46" s="1441">
        <f t="shared" si="6"/>
      </c>
      <c r="W46" s="1443"/>
      <c r="X46" s="1444"/>
      <c r="Y46" s="1417">
        <f>IF(OR($D46=0,K46=0),"",$D46/K46)</f>
      </c>
      <c r="Z46" s="1409">
        <f t="shared" si="8"/>
      </c>
    </row>
    <row r="47" spans="2:26" ht="31.5" customHeight="1">
      <c r="B47" s="1435"/>
      <c r="C47" s="1436"/>
      <c r="D47" s="1447"/>
      <c r="E47" s="1449"/>
      <c r="F47" s="1439"/>
      <c r="G47" s="1448"/>
      <c r="H47" s="1438"/>
      <c r="I47" s="1441">
        <f t="shared" si="0"/>
      </c>
      <c r="J47" s="1441">
        <f t="shared" si="7"/>
      </c>
      <c r="K47" s="1441">
        <f t="shared" si="1"/>
      </c>
      <c r="L47" s="1441">
        <f t="shared" si="2"/>
      </c>
      <c r="M47" s="1441">
        <f t="shared" si="3"/>
      </c>
      <c r="N47" s="1450"/>
      <c r="O47" s="1446"/>
      <c r="P47" s="1446"/>
      <c r="Q47" s="1441">
        <f t="shared" si="4"/>
        <v>0</v>
      </c>
      <c r="R47" s="1446"/>
      <c r="S47" s="1446"/>
      <c r="T47" s="1446"/>
      <c r="U47" s="1441">
        <f t="shared" si="5"/>
        <v>0</v>
      </c>
      <c r="V47" s="1441">
        <f t="shared" si="6"/>
      </c>
      <c r="W47" s="1443"/>
      <c r="X47" s="1444"/>
      <c r="Y47" s="1451"/>
      <c r="Z47" s="1409">
        <f t="shared" si="8"/>
      </c>
    </row>
    <row r="48" spans="1:26" ht="31.5" customHeight="1">
      <c r="A48" s="1452"/>
      <c r="B48" s="1435"/>
      <c r="C48" s="1436"/>
      <c r="D48" s="1447"/>
      <c r="E48" s="1446"/>
      <c r="F48" s="1439"/>
      <c r="G48" s="1446"/>
      <c r="H48" s="1438"/>
      <c r="I48" s="1441">
        <f t="shared" si="0"/>
      </c>
      <c r="J48" s="1441">
        <f t="shared" si="7"/>
      </c>
      <c r="K48" s="1441">
        <f t="shared" si="1"/>
      </c>
      <c r="L48" s="1441">
        <f t="shared" si="2"/>
      </c>
      <c r="M48" s="1441">
        <f t="shared" si="3"/>
      </c>
      <c r="N48" s="1450"/>
      <c r="O48" s="1446"/>
      <c r="P48" s="1446"/>
      <c r="Q48" s="1441">
        <f t="shared" si="4"/>
        <v>0</v>
      </c>
      <c r="R48" s="1446"/>
      <c r="S48" s="1446"/>
      <c r="T48" s="1446"/>
      <c r="U48" s="1441">
        <f t="shared" si="5"/>
        <v>0</v>
      </c>
      <c r="V48" s="1441">
        <f t="shared" si="6"/>
      </c>
      <c r="W48" s="1443"/>
      <c r="X48" s="1444"/>
      <c r="Y48" s="1451"/>
      <c r="Z48" s="1409">
        <f t="shared" si="8"/>
      </c>
    </row>
    <row r="49" spans="2:26" ht="31.5" customHeight="1">
      <c r="B49" s="1453"/>
      <c r="C49" s="1454"/>
      <c r="D49" s="1447"/>
      <c r="E49" s="1455"/>
      <c r="F49" s="1456"/>
      <c r="G49" s="1457"/>
      <c r="H49" s="1455"/>
      <c r="I49" s="1441">
        <f t="shared" si="0"/>
      </c>
      <c r="J49" s="1441">
        <f t="shared" si="7"/>
      </c>
      <c r="K49" s="1441">
        <f t="shared" si="1"/>
      </c>
      <c r="L49" s="1441">
        <f t="shared" si="2"/>
      </c>
      <c r="M49" s="1441">
        <f t="shared" si="3"/>
      </c>
      <c r="N49" s="1442"/>
      <c r="O49" s="1438"/>
      <c r="P49" s="1438"/>
      <c r="Q49" s="1441">
        <f t="shared" si="4"/>
        <v>0</v>
      </c>
      <c r="R49" s="1438"/>
      <c r="S49" s="1438"/>
      <c r="T49" s="1438"/>
      <c r="U49" s="1441">
        <f t="shared" si="5"/>
        <v>0</v>
      </c>
      <c r="V49" s="1441">
        <f t="shared" si="6"/>
      </c>
      <c r="W49" s="1443"/>
      <c r="X49" s="1444"/>
      <c r="Y49" s="1417">
        <f>IF(OR($D49=0,K49=0),"",$D49/K49)</f>
      </c>
      <c r="Z49" s="1409">
        <f t="shared" si="8"/>
      </c>
    </row>
    <row r="50" spans="2:26" ht="31.5" customHeight="1">
      <c r="B50" s="1435"/>
      <c r="C50" s="1436"/>
      <c r="D50" s="1447"/>
      <c r="E50" s="1438"/>
      <c r="F50" s="1439"/>
      <c r="G50" s="1455"/>
      <c r="H50" s="1455"/>
      <c r="I50" s="1441">
        <f t="shared" si="0"/>
      </c>
      <c r="J50" s="1441">
        <f t="shared" si="7"/>
      </c>
      <c r="K50" s="1441">
        <f t="shared" si="1"/>
      </c>
      <c r="L50" s="1441">
        <f t="shared" si="2"/>
      </c>
      <c r="M50" s="1441">
        <f t="shared" si="3"/>
      </c>
      <c r="N50" s="1442"/>
      <c r="O50" s="1438"/>
      <c r="P50" s="1438"/>
      <c r="Q50" s="1441">
        <f t="shared" si="4"/>
        <v>0</v>
      </c>
      <c r="R50" s="1438"/>
      <c r="S50" s="1438"/>
      <c r="T50" s="1438"/>
      <c r="U50" s="1441">
        <f t="shared" si="5"/>
        <v>0</v>
      </c>
      <c r="V50" s="1441">
        <f t="shared" si="6"/>
      </c>
      <c r="W50" s="1443"/>
      <c r="X50" s="1444"/>
      <c r="Y50" s="1417">
        <f>IF(OR($D50=0,K50=0),"",$D50/K50)</f>
      </c>
      <c r="Z50" s="1409">
        <f t="shared" si="8"/>
      </c>
    </row>
    <row r="51" spans="2:25" ht="31.5" customHeight="1">
      <c r="B51" s="1435"/>
      <c r="C51" s="1436"/>
      <c r="D51" s="1447"/>
      <c r="E51" s="1438"/>
      <c r="F51" s="1439"/>
      <c r="G51" s="1458"/>
      <c r="H51" s="1455"/>
      <c r="I51" s="1441">
        <f t="shared" si="0"/>
      </c>
      <c r="J51" s="1441">
        <f t="shared" si="7"/>
      </c>
      <c r="K51" s="1441">
        <f t="shared" si="1"/>
      </c>
      <c r="L51" s="1441">
        <f t="shared" si="2"/>
      </c>
      <c r="M51" s="1441">
        <f t="shared" si="3"/>
      </c>
      <c r="N51" s="1442"/>
      <c r="O51" s="1438"/>
      <c r="P51" s="1438"/>
      <c r="Q51" s="1441">
        <f t="shared" si="4"/>
        <v>0</v>
      </c>
      <c r="R51" s="1438"/>
      <c r="S51" s="1438"/>
      <c r="T51" s="1438"/>
      <c r="U51" s="1441">
        <f t="shared" si="5"/>
        <v>0</v>
      </c>
      <c r="V51" s="1441">
        <f t="shared" si="6"/>
      </c>
      <c r="W51" s="1443"/>
      <c r="X51" s="1444"/>
      <c r="Y51" s="1451"/>
    </row>
    <row r="52" spans="2:25" ht="31.5" customHeight="1">
      <c r="B52" s="1459"/>
      <c r="C52" s="1460"/>
      <c r="D52" s="1461"/>
      <c r="E52" s="1446"/>
      <c r="F52" s="1445"/>
      <c r="G52" s="1457"/>
      <c r="H52" s="1455"/>
      <c r="I52" s="1441">
        <f t="shared" si="0"/>
      </c>
      <c r="J52" s="1441">
        <f t="shared" si="7"/>
      </c>
      <c r="K52" s="1441">
        <f t="shared" si="1"/>
      </c>
      <c r="L52" s="1441">
        <f t="shared" si="2"/>
      </c>
      <c r="M52" s="1441">
        <f t="shared" si="3"/>
      </c>
      <c r="N52" s="1450"/>
      <c r="O52" s="1446"/>
      <c r="P52" s="1446"/>
      <c r="Q52" s="1441">
        <f t="shared" si="4"/>
        <v>0</v>
      </c>
      <c r="R52" s="1446"/>
      <c r="S52" s="1446"/>
      <c r="T52" s="1446"/>
      <c r="U52" s="1441">
        <f t="shared" si="5"/>
        <v>0</v>
      </c>
      <c r="V52" s="1441">
        <f t="shared" si="6"/>
      </c>
      <c r="W52" s="1443"/>
      <c r="X52" s="1444"/>
      <c r="Y52" s="1451"/>
    </row>
    <row r="53" spans="2:25" ht="31.5" customHeight="1">
      <c r="B53" s="1459"/>
      <c r="C53" s="1460"/>
      <c r="D53" s="1461"/>
      <c r="E53" s="1446"/>
      <c r="F53" s="1450"/>
      <c r="G53" s="1457"/>
      <c r="H53" s="784"/>
      <c r="I53" s="1441">
        <f t="shared" si="0"/>
      </c>
      <c r="J53" s="1441">
        <f t="shared" si="7"/>
      </c>
      <c r="K53" s="1441">
        <f t="shared" si="1"/>
      </c>
      <c r="L53" s="1441">
        <f t="shared" si="2"/>
      </c>
      <c r="M53" s="1441">
        <f t="shared" si="3"/>
      </c>
      <c r="N53" s="1450"/>
      <c r="O53" s="1446"/>
      <c r="P53" s="1446"/>
      <c r="Q53" s="1441">
        <f t="shared" si="4"/>
        <v>0</v>
      </c>
      <c r="R53" s="1446"/>
      <c r="S53" s="1446"/>
      <c r="T53" s="1446"/>
      <c r="U53" s="1441">
        <f t="shared" si="5"/>
        <v>0</v>
      </c>
      <c r="V53" s="1441">
        <f t="shared" si="6"/>
      </c>
      <c r="W53" s="1443"/>
      <c r="X53" s="1444"/>
      <c r="Y53" s="1451"/>
    </row>
    <row r="54" spans="2:25" ht="31.5" customHeight="1">
      <c r="B54" s="1459"/>
      <c r="C54" s="1460"/>
      <c r="D54" s="1461"/>
      <c r="E54" s="1446"/>
      <c r="F54" s="1450"/>
      <c r="G54" s="1457"/>
      <c r="H54" s="1455"/>
      <c r="I54" s="1441">
        <f t="shared" si="0"/>
      </c>
      <c r="J54" s="1441">
        <f t="shared" si="7"/>
      </c>
      <c r="K54" s="1441">
        <f t="shared" si="1"/>
      </c>
      <c r="L54" s="1441">
        <f t="shared" si="2"/>
      </c>
      <c r="M54" s="1441">
        <f t="shared" si="3"/>
      </c>
      <c r="N54" s="1450"/>
      <c r="O54" s="1446"/>
      <c r="P54" s="1446"/>
      <c r="Q54" s="1441">
        <f t="shared" si="4"/>
        <v>0</v>
      </c>
      <c r="R54" s="1446"/>
      <c r="S54" s="1446"/>
      <c r="T54" s="1446"/>
      <c r="U54" s="1441">
        <f t="shared" si="5"/>
        <v>0</v>
      </c>
      <c r="V54" s="1441">
        <f t="shared" si="6"/>
      </c>
      <c r="W54" s="1443"/>
      <c r="X54" s="1444"/>
      <c r="Y54" s="1451"/>
    </row>
    <row r="55" spans="2:25" ht="31.5" customHeight="1">
      <c r="B55" s="1459"/>
      <c r="C55" s="1460"/>
      <c r="D55" s="1461"/>
      <c r="E55" s="1446"/>
      <c r="F55" s="1450"/>
      <c r="G55" s="1446"/>
      <c r="H55" s="1438"/>
      <c r="I55" s="1441">
        <f t="shared" si="0"/>
      </c>
      <c r="J55" s="1441">
        <f t="shared" si="7"/>
      </c>
      <c r="K55" s="1441">
        <f t="shared" si="1"/>
      </c>
      <c r="L55" s="1441">
        <f t="shared" si="2"/>
      </c>
      <c r="M55" s="1441">
        <f t="shared" si="3"/>
      </c>
      <c r="N55" s="1450"/>
      <c r="O55" s="1446"/>
      <c r="P55" s="1446"/>
      <c r="Q55" s="1441">
        <f t="shared" si="4"/>
        <v>0</v>
      </c>
      <c r="R55" s="1446"/>
      <c r="S55" s="1446"/>
      <c r="T55" s="1446"/>
      <c r="U55" s="1441">
        <f t="shared" si="5"/>
        <v>0</v>
      </c>
      <c r="V55" s="1441">
        <f t="shared" si="6"/>
      </c>
      <c r="W55" s="1443"/>
      <c r="X55" s="1444"/>
      <c r="Y55" s="1451"/>
    </row>
    <row r="56" spans="2:25" ht="31.5" customHeight="1">
      <c r="B56" s="1459"/>
      <c r="C56" s="1460"/>
      <c r="D56" s="1461"/>
      <c r="E56" s="1446"/>
      <c r="F56" s="1450"/>
      <c r="G56" s="1446"/>
      <c r="H56" s="1438"/>
      <c r="I56" s="1441">
        <f t="shared" si="0"/>
      </c>
      <c r="J56" s="1441">
        <f t="shared" si="7"/>
      </c>
      <c r="K56" s="1441">
        <f t="shared" si="1"/>
      </c>
      <c r="L56" s="1441">
        <f t="shared" si="2"/>
      </c>
      <c r="M56" s="1441">
        <f t="shared" si="3"/>
      </c>
      <c r="N56" s="1450"/>
      <c r="O56" s="1446"/>
      <c r="P56" s="1446"/>
      <c r="Q56" s="1441">
        <f t="shared" si="4"/>
        <v>0</v>
      </c>
      <c r="R56" s="1446"/>
      <c r="S56" s="1446"/>
      <c r="T56" s="1446"/>
      <c r="U56" s="1441">
        <f t="shared" si="5"/>
        <v>0</v>
      </c>
      <c r="V56" s="1441">
        <f t="shared" si="6"/>
      </c>
      <c r="W56" s="1443"/>
      <c r="X56" s="1444"/>
      <c r="Y56" s="1451"/>
    </row>
    <row r="57" spans="2:25" ht="31.5" customHeight="1">
      <c r="B57" s="1459"/>
      <c r="C57" s="1460"/>
      <c r="D57" s="1461"/>
      <c r="E57" s="1446"/>
      <c r="F57" s="1450"/>
      <c r="G57" s="1446"/>
      <c r="H57" s="1438"/>
      <c r="I57" s="1441">
        <f t="shared" si="0"/>
      </c>
      <c r="J57" s="1441">
        <f t="shared" si="7"/>
      </c>
      <c r="K57" s="1441">
        <f t="shared" si="1"/>
      </c>
      <c r="L57" s="1441">
        <f t="shared" si="2"/>
      </c>
      <c r="M57" s="1441">
        <f t="shared" si="3"/>
      </c>
      <c r="N57" s="1450"/>
      <c r="O57" s="1446"/>
      <c r="P57" s="1446"/>
      <c r="Q57" s="1441">
        <f t="shared" si="4"/>
        <v>0</v>
      </c>
      <c r="R57" s="1446"/>
      <c r="S57" s="1446"/>
      <c r="T57" s="1446"/>
      <c r="U57" s="1441">
        <f t="shared" si="5"/>
        <v>0</v>
      </c>
      <c r="V57" s="1441">
        <f t="shared" si="6"/>
      </c>
      <c r="W57" s="1443"/>
      <c r="X57" s="1444"/>
      <c r="Y57" s="1451"/>
    </row>
    <row r="58" spans="2:25" ht="31.5" customHeight="1">
      <c r="B58" s="1460"/>
      <c r="C58" s="1460"/>
      <c r="D58" s="1461"/>
      <c r="E58" s="1446"/>
      <c r="F58" s="1450"/>
      <c r="G58" s="1446"/>
      <c r="H58" s="1438"/>
      <c r="I58" s="1441">
        <f t="shared" si="0"/>
      </c>
      <c r="J58" s="1441">
        <f t="shared" si="7"/>
      </c>
      <c r="K58" s="1441">
        <f t="shared" si="1"/>
      </c>
      <c r="L58" s="1441">
        <f t="shared" si="2"/>
      </c>
      <c r="M58" s="1441">
        <f t="shared" si="3"/>
      </c>
      <c r="N58" s="1450"/>
      <c r="O58" s="1446"/>
      <c r="P58" s="1446"/>
      <c r="Q58" s="1441">
        <f t="shared" si="4"/>
        <v>0</v>
      </c>
      <c r="R58" s="1446"/>
      <c r="S58" s="1446"/>
      <c r="T58" s="1446"/>
      <c r="U58" s="1441">
        <f t="shared" si="5"/>
        <v>0</v>
      </c>
      <c r="V58" s="1441">
        <f t="shared" si="6"/>
      </c>
      <c r="W58" s="1443"/>
      <c r="X58" s="1444"/>
      <c r="Y58" s="1451"/>
    </row>
    <row r="59" spans="2:28" ht="31.5" customHeight="1">
      <c r="B59" s="1462" t="s">
        <v>476</v>
      </c>
      <c r="C59" s="1463">
        <f>SUM(C12:C58)</f>
        <v>0</v>
      </c>
      <c r="D59" s="1463">
        <f>SUM(D12:D58)</f>
        <v>0</v>
      </c>
      <c r="E59" s="1464">
        <f>IF(SUM(E12:E58)="","",SUM(E12:E58))</f>
        <v>0</v>
      </c>
      <c r="F59" s="1465"/>
      <c r="G59" s="1464"/>
      <c r="H59" s="1464">
        <f aca="true" t="shared" si="9" ref="H59:M59">IF(SUM(H12:H48)="","",SUM(H12:H48))</f>
        <v>0</v>
      </c>
      <c r="I59" s="1466">
        <f t="shared" si="9"/>
        <v>0</v>
      </c>
      <c r="J59" s="1466">
        <f t="shared" si="9"/>
        <v>0</v>
      </c>
      <c r="K59" s="1464">
        <f t="shared" si="9"/>
        <v>0</v>
      </c>
      <c r="L59" s="1464">
        <f t="shared" si="9"/>
        <v>0</v>
      </c>
      <c r="M59" s="1464">
        <f t="shared" si="9"/>
        <v>0</v>
      </c>
      <c r="N59" s="1465">
        <f aca="true" t="shared" si="10" ref="N59:V59">IF(SUM(N12:N58)="","",SUM(N12:N58))</f>
        <v>0</v>
      </c>
      <c r="O59" s="1464">
        <f t="shared" si="10"/>
        <v>0</v>
      </c>
      <c r="P59" s="1464">
        <f t="shared" si="10"/>
        <v>0</v>
      </c>
      <c r="Q59" s="1464">
        <f t="shared" si="10"/>
        <v>0</v>
      </c>
      <c r="R59" s="1464">
        <f t="shared" si="10"/>
        <v>0</v>
      </c>
      <c r="S59" s="1464">
        <f t="shared" si="10"/>
        <v>0</v>
      </c>
      <c r="T59" s="1464">
        <f t="shared" si="10"/>
        <v>0</v>
      </c>
      <c r="U59" s="1464">
        <f t="shared" si="10"/>
        <v>0</v>
      </c>
      <c r="V59" s="1464">
        <f t="shared" si="10"/>
        <v>0</v>
      </c>
      <c r="W59" s="1467"/>
      <c r="X59" s="1444"/>
      <c r="Y59" s="1451"/>
      <c r="AB59" s="1396">
        <f>SUM(C59:AA59)</f>
        <v>0</v>
      </c>
    </row>
    <row r="60" spans="2:25" ht="30" customHeight="1" thickBot="1">
      <c r="B60" s="1468"/>
      <c r="C60" s="1469" t="s">
        <v>570</v>
      </c>
      <c r="D60" s="1470" t="s">
        <v>742</v>
      </c>
      <c r="E60" s="1471" t="s">
        <v>742</v>
      </c>
      <c r="F60" s="1472" t="s">
        <v>570</v>
      </c>
      <c r="G60" s="1473" t="s">
        <v>571</v>
      </c>
      <c r="H60" s="1474" t="s">
        <v>742</v>
      </c>
      <c r="I60" s="1474" t="s">
        <v>742</v>
      </c>
      <c r="J60" s="1474" t="s">
        <v>742</v>
      </c>
      <c r="K60" s="1474" t="s">
        <v>742</v>
      </c>
      <c r="L60" s="1474" t="s">
        <v>742</v>
      </c>
      <c r="M60" s="1474" t="s">
        <v>742</v>
      </c>
      <c r="N60" s="1472" t="s">
        <v>571</v>
      </c>
      <c r="O60" s="1473" t="s">
        <v>571</v>
      </c>
      <c r="P60" s="1473" t="s">
        <v>571</v>
      </c>
      <c r="Q60" s="1473" t="s">
        <v>571</v>
      </c>
      <c r="R60" s="1473" t="s">
        <v>571</v>
      </c>
      <c r="S60" s="1473" t="s">
        <v>571</v>
      </c>
      <c r="T60" s="1473" t="s">
        <v>571</v>
      </c>
      <c r="U60" s="1473" t="s">
        <v>571</v>
      </c>
      <c r="V60" s="1475" t="s">
        <v>475</v>
      </c>
      <c r="W60" s="1476"/>
      <c r="X60" s="1434"/>
      <c r="Y60" s="1451"/>
    </row>
    <row r="61" spans="2:25" ht="30" customHeight="1">
      <c r="B61" s="1865" t="s">
        <v>478</v>
      </c>
      <c r="C61" s="1865" t="s">
        <v>479</v>
      </c>
      <c r="D61" s="1870" t="s">
        <v>480</v>
      </c>
      <c r="E61" s="1873" t="s">
        <v>454</v>
      </c>
      <c r="F61" s="1857" t="s">
        <v>481</v>
      </c>
      <c r="G61" s="1860" t="s">
        <v>482</v>
      </c>
      <c r="H61" s="1863" t="s">
        <v>564</v>
      </c>
      <c r="I61" s="1477" t="s">
        <v>456</v>
      </c>
      <c r="J61" s="1477" t="s">
        <v>457</v>
      </c>
      <c r="K61" s="1477" t="s">
        <v>458</v>
      </c>
      <c r="L61" s="1477" t="s">
        <v>459</v>
      </c>
      <c r="M61" s="1477" t="s">
        <v>460</v>
      </c>
      <c r="N61" s="1478" t="s">
        <v>461</v>
      </c>
      <c r="O61" s="1477" t="s">
        <v>462</v>
      </c>
      <c r="P61" s="1477" t="s">
        <v>463</v>
      </c>
      <c r="Q61" s="1844" t="s">
        <v>464</v>
      </c>
      <c r="R61" s="1477" t="s">
        <v>461</v>
      </c>
      <c r="S61" s="1477" t="s">
        <v>462</v>
      </c>
      <c r="T61" s="1477" t="s">
        <v>463</v>
      </c>
      <c r="U61" s="1844" t="s">
        <v>464</v>
      </c>
      <c r="V61" s="1846" t="s">
        <v>484</v>
      </c>
      <c r="W61" s="1849" t="s">
        <v>455</v>
      </c>
      <c r="X61" s="1416"/>
      <c r="Y61" s="1451"/>
    </row>
    <row r="62" spans="2:25" ht="30" customHeight="1" thickBot="1">
      <c r="B62" s="1866"/>
      <c r="C62" s="1868"/>
      <c r="D62" s="1871"/>
      <c r="E62" s="1874"/>
      <c r="F62" s="1858"/>
      <c r="G62" s="1861"/>
      <c r="H62" s="1864"/>
      <c r="I62" s="1421" t="s">
        <v>465</v>
      </c>
      <c r="J62" s="1421" t="s">
        <v>466</v>
      </c>
      <c r="K62" s="1421" t="s">
        <v>467</v>
      </c>
      <c r="L62" s="1421" t="s">
        <v>468</v>
      </c>
      <c r="M62" s="1421" t="s">
        <v>469</v>
      </c>
      <c r="N62" s="1422" t="s">
        <v>470</v>
      </c>
      <c r="O62" s="1421" t="s">
        <v>471</v>
      </c>
      <c r="P62" s="1421" t="s">
        <v>472</v>
      </c>
      <c r="Q62" s="1845"/>
      <c r="R62" s="1421" t="s">
        <v>470</v>
      </c>
      <c r="S62" s="1421" t="s">
        <v>471</v>
      </c>
      <c r="T62" s="1421" t="s">
        <v>472</v>
      </c>
      <c r="U62" s="1845"/>
      <c r="V62" s="1847"/>
      <c r="W62" s="1850"/>
      <c r="X62" s="1420"/>
      <c r="Y62" s="1451"/>
    </row>
    <row r="63" spans="2:25" ht="30" customHeight="1" thickBot="1">
      <c r="B63" s="1867"/>
      <c r="C63" s="1869"/>
      <c r="D63" s="1872"/>
      <c r="E63" s="1875"/>
      <c r="F63" s="1859"/>
      <c r="G63" s="1862"/>
      <c r="H63" s="1852" t="s">
        <v>483</v>
      </c>
      <c r="I63" s="1853"/>
      <c r="J63" s="1853"/>
      <c r="K63" s="1853"/>
      <c r="L63" s="1853"/>
      <c r="M63" s="1854"/>
      <c r="N63" s="1855" t="s">
        <v>562</v>
      </c>
      <c r="O63" s="1853"/>
      <c r="P63" s="1853"/>
      <c r="Q63" s="1856"/>
      <c r="R63" s="1852" t="s">
        <v>563</v>
      </c>
      <c r="S63" s="1853"/>
      <c r="T63" s="1853"/>
      <c r="U63" s="1856"/>
      <c r="V63" s="1848"/>
      <c r="W63" s="1851"/>
      <c r="X63" s="1420"/>
      <c r="Y63" s="1451"/>
    </row>
    <row r="66" spans="6:13" ht="21">
      <c r="F66" s="1445" t="s">
        <v>485</v>
      </c>
      <c r="G66" s="1446"/>
      <c r="H66" s="1438"/>
      <c r="I66" s="1446"/>
      <c r="J66" s="1446"/>
      <c r="K66" s="1446"/>
      <c r="L66" s="1446"/>
      <c r="M66" s="1446"/>
    </row>
    <row r="67" spans="6:13" ht="24.75">
      <c r="F67" s="1450"/>
      <c r="G67" s="1448" t="s">
        <v>743</v>
      </c>
      <c r="H67" s="1438"/>
      <c r="I67" s="1479"/>
      <c r="J67" s="1446"/>
      <c r="K67" s="1446"/>
      <c r="L67" s="1446"/>
      <c r="M67" s="1446"/>
    </row>
    <row r="68" spans="6:13" ht="24.75">
      <c r="F68" s="1450"/>
      <c r="G68" s="1448" t="s">
        <v>744</v>
      </c>
      <c r="H68" s="1438"/>
      <c r="I68" s="1446"/>
      <c r="J68" s="1446"/>
      <c r="K68" s="1446"/>
      <c r="L68" s="1446"/>
      <c r="M68" s="1446"/>
    </row>
    <row r="69" spans="6:13" ht="24.75">
      <c r="F69" s="1450"/>
      <c r="G69" s="1446" t="s">
        <v>745</v>
      </c>
      <c r="H69" s="1438"/>
      <c r="I69" s="1446"/>
      <c r="J69" s="1446"/>
      <c r="K69" s="1446"/>
      <c r="L69" s="1446"/>
      <c r="M69" s="1446"/>
    </row>
    <row r="70" spans="6:13" ht="21">
      <c r="F70" s="1450"/>
      <c r="G70" s="1446" t="s">
        <v>486</v>
      </c>
      <c r="H70" s="1438"/>
      <c r="I70" s="1446"/>
      <c r="J70" s="1446"/>
      <c r="K70" s="1446"/>
      <c r="L70" s="1446"/>
      <c r="M70" s="1446"/>
    </row>
  </sheetData>
  <sheetProtection/>
  <mergeCells count="28">
    <mergeCell ref="F8:F10"/>
    <mergeCell ref="G8:G10"/>
    <mergeCell ref="H8:M8"/>
    <mergeCell ref="N8:Q8"/>
    <mergeCell ref="B8:B10"/>
    <mergeCell ref="C8:C10"/>
    <mergeCell ref="D8:D10"/>
    <mergeCell ref="E8:E10"/>
    <mergeCell ref="R8:U8"/>
    <mergeCell ref="V8:V10"/>
    <mergeCell ref="W8:W10"/>
    <mergeCell ref="H9:H10"/>
    <mergeCell ref="Q9:Q10"/>
    <mergeCell ref="U9:U10"/>
    <mergeCell ref="F61:F63"/>
    <mergeCell ref="G61:G63"/>
    <mergeCell ref="H61:H62"/>
    <mergeCell ref="Q61:Q62"/>
    <mergeCell ref="B61:B63"/>
    <mergeCell ref="C61:C63"/>
    <mergeCell ref="D61:D63"/>
    <mergeCell ref="E61:E63"/>
    <mergeCell ref="U61:U62"/>
    <mergeCell ref="V61:V63"/>
    <mergeCell ref="W61:W63"/>
    <mergeCell ref="H63:M63"/>
    <mergeCell ref="N63:Q63"/>
    <mergeCell ref="R63:U63"/>
  </mergeCells>
  <printOptions/>
  <pageMargins left="0.7874015748031497" right="0" top="0.7874015748031497" bottom="0" header="0.5118110236220472" footer="0"/>
  <pageSetup horizontalDpi="300" verticalDpi="300" orientation="portrait" paperSize="9" scale="45" r:id="rId2"/>
  <colBreaks count="1" manualBreakCount="1">
    <brk id="24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31"/>
  <sheetViews>
    <sheetView view="pageBreakPreview" zoomScaleNormal="130" zoomScaleSheetLayoutView="100" zoomScalePageLayoutView="0" workbookViewId="0" topLeftCell="A1">
      <pane ySplit="2" topLeftCell="A3" activePane="bottomLeft" state="frozen"/>
      <selection pane="topLeft" activeCell="T34" sqref="T34"/>
      <selection pane="bottomLeft" activeCell="F31" sqref="F31"/>
    </sheetView>
  </sheetViews>
  <sheetFormatPr defaultColWidth="9.00390625" defaultRowHeight="27" customHeight="1"/>
  <cols>
    <col min="1" max="1" width="9.00390625" style="1320" customWidth="1"/>
    <col min="2" max="2" width="10.50390625" style="1383" bestFit="1" customWidth="1"/>
    <col min="3" max="3" width="16.375" style="1383" bestFit="1" customWidth="1"/>
    <col min="4" max="4" width="9.625" style="1383" customWidth="1"/>
    <col min="5" max="5" width="24.75390625" style="1383" bestFit="1" customWidth="1"/>
    <col min="6" max="6" width="9.625" style="1383" customWidth="1"/>
    <col min="7" max="7" width="8.625" style="1383" customWidth="1"/>
    <col min="8" max="8" width="11.50390625" style="1383" customWidth="1"/>
    <col min="9" max="9" width="16.75390625" style="1320" bestFit="1" customWidth="1"/>
    <col min="10" max="10" width="13.125" style="1320" bestFit="1" customWidth="1"/>
    <col min="11" max="16384" width="9.00390625" style="1320" customWidth="1"/>
  </cols>
  <sheetData>
    <row r="1" spans="2:8" ht="15" customHeight="1">
      <c r="B1" s="1883" t="s">
        <v>605</v>
      </c>
      <c r="C1" s="1883"/>
      <c r="D1" s="1883"/>
      <c r="E1" s="1394"/>
      <c r="G1" s="1884" t="s">
        <v>723</v>
      </c>
      <c r="H1" s="1884"/>
    </row>
    <row r="2" spans="2:8" ht="27">
      <c r="B2" s="1384" t="s">
        <v>607</v>
      </c>
      <c r="C2" s="1384" t="s">
        <v>730</v>
      </c>
      <c r="D2" s="1384" t="s">
        <v>725</v>
      </c>
      <c r="E2" s="1384" t="s">
        <v>731</v>
      </c>
      <c r="F2" s="1384" t="s">
        <v>724</v>
      </c>
      <c r="G2" s="1384" t="s">
        <v>726</v>
      </c>
      <c r="H2" s="1384" t="s">
        <v>727</v>
      </c>
    </row>
    <row r="3" spans="2:10" ht="15" customHeight="1">
      <c r="B3" s="1385" t="s">
        <v>729</v>
      </c>
      <c r="C3" s="1388" t="s">
        <v>732</v>
      </c>
      <c r="D3" s="1390">
        <v>275</v>
      </c>
      <c r="E3" s="1388" t="s">
        <v>740</v>
      </c>
      <c r="F3" s="1390">
        <v>765</v>
      </c>
      <c r="G3" s="1391">
        <v>1</v>
      </c>
      <c r="H3" s="1388"/>
      <c r="I3" s="1331"/>
      <c r="J3" s="1331"/>
    </row>
    <row r="4" spans="2:10" ht="15" customHeight="1">
      <c r="B4" s="1385" t="s">
        <v>728</v>
      </c>
      <c r="C4" s="1388" t="s">
        <v>733</v>
      </c>
      <c r="D4" s="1390">
        <v>61</v>
      </c>
      <c r="E4" s="1388" t="s">
        <v>737</v>
      </c>
      <c r="F4" s="1390">
        <v>315</v>
      </c>
      <c r="G4" s="1391">
        <v>1</v>
      </c>
      <c r="H4" s="1388"/>
      <c r="I4" s="1331"/>
      <c r="J4" s="1331"/>
    </row>
    <row r="5" spans="2:10" ht="15" customHeight="1">
      <c r="B5" s="1385" t="s">
        <v>623</v>
      </c>
      <c r="C5" s="1388" t="s">
        <v>736</v>
      </c>
      <c r="D5" s="1390">
        <v>54</v>
      </c>
      <c r="E5" s="1388" t="s">
        <v>738</v>
      </c>
      <c r="F5" s="1390">
        <v>210</v>
      </c>
      <c r="G5" s="1391">
        <v>1</v>
      </c>
      <c r="H5" s="1388"/>
      <c r="I5" s="1331"/>
      <c r="J5" s="1331"/>
    </row>
    <row r="6" spans="2:10" ht="15" customHeight="1">
      <c r="B6" s="1385" t="s">
        <v>618</v>
      </c>
      <c r="C6" s="1388" t="s">
        <v>734</v>
      </c>
      <c r="D6" s="1390">
        <v>54</v>
      </c>
      <c r="E6" s="1388" t="s">
        <v>739</v>
      </c>
      <c r="F6" s="1390">
        <v>225</v>
      </c>
      <c r="G6" s="1391">
        <v>2</v>
      </c>
      <c r="H6" s="1388"/>
      <c r="I6" s="1331"/>
      <c r="J6" s="1331"/>
    </row>
    <row r="7" spans="2:10" ht="15" customHeight="1">
      <c r="B7" s="1385" t="s">
        <v>619</v>
      </c>
      <c r="C7" s="1388" t="s">
        <v>735</v>
      </c>
      <c r="D7" s="1390">
        <v>95</v>
      </c>
      <c r="E7" s="1388" t="s">
        <v>741</v>
      </c>
      <c r="F7" s="1390">
        <v>495</v>
      </c>
      <c r="G7" s="1391">
        <v>1</v>
      </c>
      <c r="H7" s="1388"/>
      <c r="I7" s="1331"/>
      <c r="J7" s="1331"/>
    </row>
    <row r="8" spans="2:10" ht="15" customHeight="1">
      <c r="B8" s="1385"/>
      <c r="C8" s="1388"/>
      <c r="D8" s="1390"/>
      <c r="E8" s="1388"/>
      <c r="F8" s="1390"/>
      <c r="G8" s="1391"/>
      <c r="H8" s="1388"/>
      <c r="I8" s="1331"/>
      <c r="J8" s="1331"/>
    </row>
    <row r="9" spans="2:10" ht="15" customHeight="1">
      <c r="B9" s="1385"/>
      <c r="C9" s="1388"/>
      <c r="D9" s="1390"/>
      <c r="E9" s="1388"/>
      <c r="F9" s="1390"/>
      <c r="G9" s="1391"/>
      <c r="H9" s="1388"/>
      <c r="I9" s="1331"/>
      <c r="J9" s="1331"/>
    </row>
    <row r="10" spans="2:10" ht="15" customHeight="1">
      <c r="B10" s="1385"/>
      <c r="C10" s="1388"/>
      <c r="D10" s="1390"/>
      <c r="E10" s="1388"/>
      <c r="F10" s="1390"/>
      <c r="G10" s="1391"/>
      <c r="H10" s="1388"/>
      <c r="I10" s="1331"/>
      <c r="J10" s="1331"/>
    </row>
    <row r="11" spans="2:10" ht="15" customHeight="1">
      <c r="B11" s="1385"/>
      <c r="C11" s="1388"/>
      <c r="D11" s="1390"/>
      <c r="E11" s="1388"/>
      <c r="F11" s="1390"/>
      <c r="G11" s="1391"/>
      <c r="H11" s="1388"/>
      <c r="I11" s="1331"/>
      <c r="J11" s="1331"/>
    </row>
    <row r="12" spans="2:10" ht="15" customHeight="1">
      <c r="B12" s="1385"/>
      <c r="C12" s="1388"/>
      <c r="D12" s="1390"/>
      <c r="E12" s="1388"/>
      <c r="F12" s="1390"/>
      <c r="G12" s="1391"/>
      <c r="H12" s="1388"/>
      <c r="I12" s="1331"/>
      <c r="J12" s="1331"/>
    </row>
    <row r="13" spans="2:10" ht="15" customHeight="1">
      <c r="B13" s="1385"/>
      <c r="C13" s="1388"/>
      <c r="D13" s="1390"/>
      <c r="E13" s="1388"/>
      <c r="G13" s="1391"/>
      <c r="H13" s="1388"/>
      <c r="I13" s="1331"/>
      <c r="J13" s="1331"/>
    </row>
    <row r="14" spans="2:9" ht="15" customHeight="1">
      <c r="B14" s="1385"/>
      <c r="C14" s="1388"/>
      <c r="D14" s="1390"/>
      <c r="E14" s="1388"/>
      <c r="F14" s="1390"/>
      <c r="G14" s="1391"/>
      <c r="H14" s="1388"/>
      <c r="I14" s="1331"/>
    </row>
    <row r="15" spans="2:9" ht="15" customHeight="1">
      <c r="B15" s="1385"/>
      <c r="C15" s="1388"/>
      <c r="D15" s="1390"/>
      <c r="E15" s="1388"/>
      <c r="F15" s="1390"/>
      <c r="G15" s="1391"/>
      <c r="H15" s="1388"/>
      <c r="I15" s="1331"/>
    </row>
    <row r="16" spans="2:9" ht="15" customHeight="1">
      <c r="B16" s="1385"/>
      <c r="C16" s="1388"/>
      <c r="D16" s="1390"/>
      <c r="E16" s="1388"/>
      <c r="F16" s="1390"/>
      <c r="G16" s="1391"/>
      <c r="H16" s="1388"/>
      <c r="I16" s="1331"/>
    </row>
    <row r="17" spans="2:9" ht="15" customHeight="1">
      <c r="B17" s="1385"/>
      <c r="C17" s="1388"/>
      <c r="D17" s="1390"/>
      <c r="E17" s="1388"/>
      <c r="F17" s="1390"/>
      <c r="G17" s="1391"/>
      <c r="H17" s="1388"/>
      <c r="I17" s="1331"/>
    </row>
    <row r="18" spans="2:9" ht="15" customHeight="1">
      <c r="B18" s="1385"/>
      <c r="C18" s="1388"/>
      <c r="D18" s="1390"/>
      <c r="E18" s="1388"/>
      <c r="F18" s="1390"/>
      <c r="G18" s="1391"/>
      <c r="H18" s="1388"/>
      <c r="I18" s="1331"/>
    </row>
    <row r="19" spans="2:9" ht="15" customHeight="1">
      <c r="B19" s="1385"/>
      <c r="C19" s="1388"/>
      <c r="D19" s="1390"/>
      <c r="E19" s="1388"/>
      <c r="F19" s="1390"/>
      <c r="G19" s="1391">
        <v>0</v>
      </c>
      <c r="H19" s="1388"/>
      <c r="I19" s="1331"/>
    </row>
    <row r="20" spans="2:9" ht="15" customHeight="1">
      <c r="B20" s="1385"/>
      <c r="C20" s="1388"/>
      <c r="D20" s="1390"/>
      <c r="E20" s="1388"/>
      <c r="F20" s="1390"/>
      <c r="G20" s="1391"/>
      <c r="H20" s="1388"/>
      <c r="I20" s="1331"/>
    </row>
    <row r="21" spans="2:9" ht="15" customHeight="1">
      <c r="B21" s="1385"/>
      <c r="C21" s="1388"/>
      <c r="D21" s="1390"/>
      <c r="E21" s="1388"/>
      <c r="F21" s="1390"/>
      <c r="G21" s="1391"/>
      <c r="H21" s="1388"/>
      <c r="I21" s="1331"/>
    </row>
    <row r="22" spans="2:9" ht="15" customHeight="1">
      <c r="B22" s="1385"/>
      <c r="C22" s="1388"/>
      <c r="D22" s="1390"/>
      <c r="E22" s="1388"/>
      <c r="F22" s="1390"/>
      <c r="G22" s="1391"/>
      <c r="H22" s="1388"/>
      <c r="I22" s="1331"/>
    </row>
    <row r="23" spans="2:9" ht="15" customHeight="1">
      <c r="B23" s="1385"/>
      <c r="C23" s="1388"/>
      <c r="D23" s="1390"/>
      <c r="E23" s="1388"/>
      <c r="F23" s="1390"/>
      <c r="G23" s="1391"/>
      <c r="H23" s="1388"/>
      <c r="I23" s="1331"/>
    </row>
    <row r="24" spans="2:9" ht="15" customHeight="1">
      <c r="B24" s="1385"/>
      <c r="C24" s="1388"/>
      <c r="D24" s="1390"/>
      <c r="E24" s="1388"/>
      <c r="F24" s="1390"/>
      <c r="G24" s="1391"/>
      <c r="H24" s="1388"/>
      <c r="I24" s="1331"/>
    </row>
    <row r="25" spans="2:9" ht="15" customHeight="1">
      <c r="B25" s="1385"/>
      <c r="C25" s="1388"/>
      <c r="D25" s="1390"/>
      <c r="E25" s="1388"/>
      <c r="F25" s="1390"/>
      <c r="G25" s="1391"/>
      <c r="H25" s="1388">
        <f>IF(G25="","",ROUND(G25*(2)^0.5,2))</f>
      </c>
      <c r="I25" s="1331"/>
    </row>
    <row r="26" spans="2:9" ht="15" customHeight="1">
      <c r="B26" s="1385"/>
      <c r="C26" s="1388"/>
      <c r="D26" s="1390"/>
      <c r="E26" s="1388"/>
      <c r="F26" s="1390"/>
      <c r="G26" s="1391"/>
      <c r="H26" s="1388">
        <f>IF(G26="","",ROUND(G26*(2)^0.5,2))</f>
      </c>
      <c r="I26" s="1331"/>
    </row>
    <row r="27" spans="2:9" ht="15" customHeight="1" thickBot="1">
      <c r="B27" s="1385"/>
      <c r="C27" s="1388"/>
      <c r="D27" s="1390"/>
      <c r="E27" s="1388"/>
      <c r="F27" s="1390"/>
      <c r="G27" s="1391"/>
      <c r="H27" s="1388">
        <f>IF(G27="","",ROUND(G27*(2)^0.5,2))</f>
      </c>
      <c r="I27" s="1331"/>
    </row>
    <row r="28" spans="2:8" ht="24.75" customHeight="1" thickTop="1">
      <c r="B28" s="1386" t="s">
        <v>285</v>
      </c>
      <c r="C28" s="1393"/>
      <c r="D28" s="1387">
        <f>SUM(D3:D27)</f>
        <v>539</v>
      </c>
      <c r="E28" s="1387"/>
      <c r="F28" s="1387">
        <f>SUM(F3:F27)</f>
        <v>2010</v>
      </c>
      <c r="G28" s="1392">
        <f>SUM(G3:G27)</f>
        <v>6</v>
      </c>
      <c r="H28" s="1389"/>
    </row>
    <row r="31" ht="27" customHeight="1">
      <c r="I31" s="1338"/>
    </row>
  </sheetData>
  <sheetProtection/>
  <mergeCells count="2">
    <mergeCell ref="B1:D1"/>
    <mergeCell ref="G1:H1"/>
  </mergeCells>
  <printOptions/>
  <pageMargins left="0.984251968503937" right="0.1968503937007874" top="0.7874015748031497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6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" width="5.625" style="0" customWidth="1"/>
    <col min="2" max="2" width="9.00390625" style="1485" customWidth="1"/>
    <col min="3" max="3" width="5.625" style="0" customWidth="1"/>
  </cols>
  <sheetData>
    <row r="4" spans="2:3" ht="39.75" customHeight="1">
      <c r="B4" s="1484" t="s">
        <v>95</v>
      </c>
      <c r="C4" s="128" t="s">
        <v>86</v>
      </c>
    </row>
    <row r="5" spans="2:3" ht="39.75" customHeight="1">
      <c r="B5" s="1484" t="s">
        <v>96</v>
      </c>
      <c r="C5" s="128" t="s">
        <v>94</v>
      </c>
    </row>
    <row r="6" spans="2:3" ht="39.75" customHeight="1">
      <c r="B6" s="1484" t="s">
        <v>97</v>
      </c>
      <c r="C6" s="128" t="s">
        <v>87</v>
      </c>
    </row>
    <row r="7" spans="2:3" ht="39.75" customHeight="1">
      <c r="B7" s="1484" t="s">
        <v>98</v>
      </c>
      <c r="C7" s="128" t="s">
        <v>88</v>
      </c>
    </row>
    <row r="8" spans="2:3" ht="39.75" customHeight="1">
      <c r="B8" s="1484" t="s">
        <v>99</v>
      </c>
      <c r="C8" s="128" t="s">
        <v>48</v>
      </c>
    </row>
    <row r="9" spans="2:3" ht="39.75" customHeight="1">
      <c r="B9" s="1484" t="s">
        <v>100</v>
      </c>
      <c r="C9" s="129" t="s">
        <v>104</v>
      </c>
    </row>
    <row r="10" spans="2:3" ht="39.75" customHeight="1">
      <c r="B10" s="1484" t="s">
        <v>751</v>
      </c>
      <c r="C10" s="129" t="s">
        <v>758</v>
      </c>
    </row>
    <row r="11" spans="2:3" ht="39.75" customHeight="1">
      <c r="B11" s="1484" t="s">
        <v>752</v>
      </c>
      <c r="C11" s="128" t="s">
        <v>89</v>
      </c>
    </row>
    <row r="12" spans="2:3" ht="39.75" customHeight="1">
      <c r="B12" s="1484" t="s">
        <v>753</v>
      </c>
      <c r="C12" s="128" t="s">
        <v>90</v>
      </c>
    </row>
    <row r="13" spans="2:3" ht="39.75" customHeight="1">
      <c r="B13" s="1484" t="s">
        <v>754</v>
      </c>
      <c r="C13" s="128" t="s">
        <v>91</v>
      </c>
    </row>
    <row r="14" spans="2:3" ht="39.75" customHeight="1">
      <c r="B14" s="1484" t="s">
        <v>755</v>
      </c>
      <c r="C14" s="128" t="s">
        <v>92</v>
      </c>
    </row>
    <row r="15" spans="2:3" ht="39.75" customHeight="1">
      <c r="B15" s="1484" t="s">
        <v>756</v>
      </c>
      <c r="C15" s="128" t="s">
        <v>93</v>
      </c>
    </row>
    <row r="16" spans="2:3" ht="39.75" customHeight="1">
      <c r="B16" s="1484" t="s">
        <v>757</v>
      </c>
      <c r="C16" s="128" t="s">
        <v>750</v>
      </c>
    </row>
  </sheetData>
  <sheetProtection/>
  <printOptions horizontalCentered="1" verticalCentered="1"/>
  <pageMargins left="0" right="0" top="0.984251968503937" bottom="0.984251968503937" header="0.5118110236220472" footer="0.5118110236220472"/>
  <pageSetup horizontalDpi="300" verticalDpi="300"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6" tint="0.39998000860214233"/>
  </sheetPr>
  <dimension ref="A1:AA78"/>
  <sheetViews>
    <sheetView view="pageBreakPreview" zoomScale="70" zoomScaleNormal="50" zoomScaleSheetLayoutView="70" zoomScalePageLayoutView="0" workbookViewId="0" topLeftCell="A1">
      <pane ySplit="8" topLeftCell="A9" activePane="bottomLeft" state="frozen"/>
      <selection pane="topLeft" activeCell="T34" sqref="T34"/>
      <selection pane="bottomLeft" activeCell="F13" sqref="F13"/>
    </sheetView>
  </sheetViews>
  <sheetFormatPr defaultColWidth="13.625" defaultRowHeight="13.5"/>
  <cols>
    <col min="1" max="2" width="7.625" style="601" customWidth="1"/>
    <col min="3" max="3" width="10.625" style="601" customWidth="1"/>
    <col min="4" max="4" width="5.75390625" style="601" customWidth="1"/>
    <col min="5" max="5" width="9.625" style="601" customWidth="1"/>
    <col min="6" max="6" width="10.125" style="617" customWidth="1"/>
    <col min="7" max="7" width="10.125" style="601" customWidth="1"/>
    <col min="8" max="8" width="7.125" style="601" customWidth="1"/>
    <col min="9" max="9" width="6.625" style="601" customWidth="1"/>
    <col min="10" max="10" width="7.625" style="601" customWidth="1"/>
    <col min="11" max="11" width="8.375" style="601" customWidth="1"/>
    <col min="12" max="12" width="8.875" style="601" customWidth="1"/>
    <col min="13" max="13" width="9.625" style="601" customWidth="1"/>
    <col min="14" max="14" width="5.625" style="601" customWidth="1"/>
    <col min="15" max="15" width="11.125" style="601" customWidth="1"/>
    <col min="16" max="16" width="8.625" style="601" customWidth="1"/>
    <col min="17" max="18" width="10.125" style="601" customWidth="1"/>
    <col min="19" max="19" width="9.625" style="601" customWidth="1"/>
    <col min="20" max="20" width="7.125" style="601" customWidth="1"/>
    <col min="21" max="21" width="9.625" style="601" customWidth="1"/>
    <col min="22" max="22" width="7.125" style="601" customWidth="1"/>
    <col min="23" max="23" width="9.625" style="601" customWidth="1"/>
    <col min="24" max="24" width="6.75390625" style="601" customWidth="1"/>
    <col min="25" max="25" width="9.625" style="601" customWidth="1"/>
    <col min="26" max="27" width="7.625" style="601" customWidth="1"/>
    <col min="28" max="16384" width="13.625" style="601" customWidth="1"/>
  </cols>
  <sheetData>
    <row r="1" spans="1:26" ht="18" customHeight="1">
      <c r="A1" s="598"/>
      <c r="B1" s="599"/>
      <c r="C1" s="599"/>
      <c r="D1" s="599"/>
      <c r="E1" s="599"/>
      <c r="F1" s="600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</row>
    <row r="2" spans="2:26" s="602" customFormat="1" ht="45" customHeight="1">
      <c r="B2" s="603"/>
      <c r="C2" s="1488" t="s">
        <v>79</v>
      </c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  <c r="P2" s="1488"/>
      <c r="Q2" s="1488"/>
      <c r="R2" s="1488"/>
      <c r="S2" s="1488"/>
      <c r="T2" s="1488"/>
      <c r="U2" s="1488"/>
      <c r="V2" s="1488"/>
      <c r="W2" s="1488"/>
      <c r="X2" s="604"/>
      <c r="Y2" s="603"/>
      <c r="Z2" s="603"/>
    </row>
    <row r="3" spans="2:26" s="605" customFormat="1" ht="24" customHeight="1">
      <c r="B3" s="606" t="s">
        <v>3</v>
      </c>
      <c r="C3" s="607"/>
      <c r="D3" s="607"/>
      <c r="E3" s="607"/>
      <c r="F3" s="600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7" s="605" customFormat="1" ht="24" customHeight="1" thickBot="1">
      <c r="B4" s="608"/>
      <c r="C4" s="609" t="s">
        <v>574</v>
      </c>
      <c r="D4" s="610" t="str">
        <f>'表紙１'!C2</f>
        <v>5</v>
      </c>
      <c r="E4" s="609" t="s">
        <v>348</v>
      </c>
      <c r="F4" s="609"/>
      <c r="G4" s="611" t="str">
        <f>'表紙１'!G5</f>
        <v>多比良</v>
      </c>
      <c r="H4" s="609" t="s">
        <v>349</v>
      </c>
      <c r="I4" s="612"/>
      <c r="J4" s="613" t="s">
        <v>350</v>
      </c>
      <c r="K4" s="610" t="str">
        <f>'表紙１'!D7</f>
        <v>1</v>
      </c>
      <c r="L4" s="610"/>
      <c r="M4" s="614" t="s">
        <v>351</v>
      </c>
      <c r="N4" s="615"/>
      <c r="O4" s="610" t="str">
        <f>'表紙１'!F7</f>
        <v>－</v>
      </c>
      <c r="P4" s="614" t="s">
        <v>352</v>
      </c>
      <c r="Q4" s="614"/>
      <c r="R4" s="608"/>
      <c r="S4" s="608"/>
      <c r="T4" s="608"/>
      <c r="U4" s="616"/>
      <c r="V4" s="616"/>
      <c r="W4" s="608"/>
      <c r="X4" s="608"/>
      <c r="Y4" s="608"/>
      <c r="Z4" s="600"/>
      <c r="AA4" s="617"/>
    </row>
    <row r="5" spans="2:27" s="605" customFormat="1" ht="24" customHeight="1">
      <c r="B5" s="857" t="s">
        <v>353</v>
      </c>
      <c r="C5" s="858"/>
      <c r="D5" s="859" t="s">
        <v>331</v>
      </c>
      <c r="E5" s="860" t="s">
        <v>243</v>
      </c>
      <c r="F5" s="623"/>
      <c r="G5" s="623"/>
      <c r="H5" s="860" t="s">
        <v>244</v>
      </c>
      <c r="I5" s="623"/>
      <c r="J5" s="623"/>
      <c r="K5" s="621" t="s">
        <v>354</v>
      </c>
      <c r="L5" s="623"/>
      <c r="M5" s="623"/>
      <c r="N5" s="621" t="s">
        <v>355</v>
      </c>
      <c r="O5" s="623"/>
      <c r="P5" s="621" t="s">
        <v>356</v>
      </c>
      <c r="Q5" s="623"/>
      <c r="R5" s="621" t="s">
        <v>357</v>
      </c>
      <c r="S5" s="623"/>
      <c r="T5" s="860" t="s">
        <v>358</v>
      </c>
      <c r="U5" s="622"/>
      <c r="V5" s="621" t="s">
        <v>245</v>
      </c>
      <c r="W5" s="623"/>
      <c r="X5" s="621" t="s">
        <v>359</v>
      </c>
      <c r="Y5" s="623"/>
      <c r="Z5" s="624" t="s">
        <v>246</v>
      </c>
      <c r="AA5" s="625"/>
    </row>
    <row r="6" spans="2:27" s="605" customFormat="1" ht="24" customHeight="1">
      <c r="B6" s="618" t="s">
        <v>360</v>
      </c>
      <c r="C6" s="626" t="s">
        <v>361</v>
      </c>
      <c r="D6" s="626" t="s">
        <v>362</v>
      </c>
      <c r="E6" s="627" t="s">
        <v>363</v>
      </c>
      <c r="F6" s="628"/>
      <c r="G6" s="628"/>
      <c r="H6" s="627"/>
      <c r="I6" s="628"/>
      <c r="J6" s="629" t="s">
        <v>364</v>
      </c>
      <c r="K6" s="1489" t="s">
        <v>247</v>
      </c>
      <c r="L6" s="1490"/>
      <c r="M6" s="629" t="s">
        <v>365</v>
      </c>
      <c r="N6" s="627"/>
      <c r="O6" s="628"/>
      <c r="P6" s="627"/>
      <c r="Q6" s="628"/>
      <c r="R6" s="627"/>
      <c r="S6" s="628"/>
      <c r="T6" s="627"/>
      <c r="U6" s="628"/>
      <c r="V6" s="630"/>
      <c r="W6" s="631"/>
      <c r="X6" s="627"/>
      <c r="Y6" s="628"/>
      <c r="Z6" s="632"/>
      <c r="AA6" s="633"/>
    </row>
    <row r="7" spans="2:27" s="605" customFormat="1" ht="24" customHeight="1" thickBot="1">
      <c r="B7" s="634" t="s">
        <v>366</v>
      </c>
      <c r="C7" s="635"/>
      <c r="D7" s="635"/>
      <c r="E7" s="636" t="s">
        <v>36</v>
      </c>
      <c r="F7" s="637" t="s">
        <v>81</v>
      </c>
      <c r="G7" s="637" t="s">
        <v>82</v>
      </c>
      <c r="H7" s="638" t="s">
        <v>367</v>
      </c>
      <c r="I7" s="639" t="s">
        <v>368</v>
      </c>
      <c r="J7" s="639" t="s">
        <v>369</v>
      </c>
      <c r="K7" s="636"/>
      <c r="L7" s="640"/>
      <c r="M7" s="639" t="s">
        <v>370</v>
      </c>
      <c r="N7" s="636" t="s">
        <v>83</v>
      </c>
      <c r="O7" s="637" t="s">
        <v>75</v>
      </c>
      <c r="P7" s="638" t="s">
        <v>248</v>
      </c>
      <c r="Q7" s="639" t="s">
        <v>371</v>
      </c>
      <c r="R7" s="638" t="s">
        <v>372</v>
      </c>
      <c r="S7" s="639" t="s">
        <v>371</v>
      </c>
      <c r="T7" s="636" t="s">
        <v>84</v>
      </c>
      <c r="U7" s="639" t="s">
        <v>371</v>
      </c>
      <c r="V7" s="641" t="s">
        <v>372</v>
      </c>
      <c r="W7" s="642" t="s">
        <v>371</v>
      </c>
      <c r="X7" s="638" t="s">
        <v>372</v>
      </c>
      <c r="Y7" s="639" t="s">
        <v>373</v>
      </c>
      <c r="Z7" s="643" t="s">
        <v>249</v>
      </c>
      <c r="AA7" s="644" t="s">
        <v>250</v>
      </c>
    </row>
    <row r="8" spans="2:27" s="617" customFormat="1" ht="24" customHeight="1" thickTop="1">
      <c r="B8" s="1170"/>
      <c r="C8" s="1171" t="s">
        <v>374</v>
      </c>
      <c r="D8" s="1171" t="s">
        <v>374</v>
      </c>
      <c r="E8" s="1171" t="s">
        <v>374</v>
      </c>
      <c r="F8" s="1172" t="s">
        <v>374</v>
      </c>
      <c r="G8" s="1172" t="s">
        <v>374</v>
      </c>
      <c r="H8" s="1171" t="s">
        <v>375</v>
      </c>
      <c r="I8" s="767"/>
      <c r="J8" s="1172" t="s">
        <v>374</v>
      </c>
      <c r="K8" s="785" t="s">
        <v>374</v>
      </c>
      <c r="L8" s="1173" t="s">
        <v>337</v>
      </c>
      <c r="M8" s="1172" t="s">
        <v>376</v>
      </c>
      <c r="N8" s="1171" t="s">
        <v>374</v>
      </c>
      <c r="O8" s="1172" t="s">
        <v>374</v>
      </c>
      <c r="P8" s="785"/>
      <c r="Q8" s="1172" t="s">
        <v>374</v>
      </c>
      <c r="R8" s="785"/>
      <c r="S8" s="1172" t="s">
        <v>374</v>
      </c>
      <c r="T8" s="1171" t="s">
        <v>374</v>
      </c>
      <c r="U8" s="1172" t="s">
        <v>374</v>
      </c>
      <c r="V8" s="1174" t="s">
        <v>377</v>
      </c>
      <c r="W8" s="1175" t="s">
        <v>374</v>
      </c>
      <c r="X8" s="1176" t="s">
        <v>378</v>
      </c>
      <c r="Y8" s="1172" t="s">
        <v>379</v>
      </c>
      <c r="Z8" s="1174" t="s">
        <v>378</v>
      </c>
      <c r="AA8" s="1177" t="s">
        <v>380</v>
      </c>
    </row>
    <row r="9" spans="2:27" s="617" customFormat="1" ht="24" customHeight="1">
      <c r="B9" s="1178" t="s">
        <v>276</v>
      </c>
      <c r="C9" s="1179"/>
      <c r="D9" s="1171"/>
      <c r="E9" s="785"/>
      <c r="F9" s="1172"/>
      <c r="G9" s="1172"/>
      <c r="H9" s="1171"/>
      <c r="I9" s="767"/>
      <c r="J9" s="1172"/>
      <c r="K9" s="1480" t="s">
        <v>578</v>
      </c>
      <c r="L9" s="1181" t="str">
        <f>"3*"&amp;TEXT(K10,"@")</f>
        <v>3*175</v>
      </c>
      <c r="M9" s="1304"/>
      <c r="N9" s="1171"/>
      <c r="O9" s="1214"/>
      <c r="P9" s="785"/>
      <c r="Q9" s="1172"/>
      <c r="R9" s="785"/>
      <c r="S9" s="1172"/>
      <c r="T9" s="1171"/>
      <c r="U9" s="1172"/>
      <c r="V9" s="1176"/>
      <c r="W9" s="1175"/>
      <c r="X9" s="1176"/>
      <c r="Y9" s="1172"/>
      <c r="Z9" s="1183"/>
      <c r="AA9" s="1177"/>
    </row>
    <row r="10" spans="2:27" s="617" customFormat="1" ht="24" customHeight="1">
      <c r="B10" s="1184" t="s">
        <v>576</v>
      </c>
      <c r="C10" s="1185">
        <v>175</v>
      </c>
      <c r="D10" s="1186">
        <v>4</v>
      </c>
      <c r="E10" s="1187">
        <f>C10</f>
        <v>175</v>
      </c>
      <c r="F10" s="1172"/>
      <c r="G10" s="1172"/>
      <c r="H10" s="1171"/>
      <c r="I10" s="767"/>
      <c r="J10" s="1172"/>
      <c r="K10" s="1180">
        <v>175</v>
      </c>
      <c r="L10" s="1188">
        <f>3*K10</f>
        <v>525</v>
      </c>
      <c r="M10" s="1305"/>
      <c r="N10" s="1205"/>
      <c r="O10" s="1209"/>
      <c r="P10" s="785"/>
      <c r="Q10" s="1172"/>
      <c r="R10" s="785"/>
      <c r="S10" s="1172"/>
      <c r="T10" s="1171"/>
      <c r="U10" s="1172"/>
      <c r="V10" s="1176"/>
      <c r="W10" s="1175"/>
      <c r="X10" s="1176"/>
      <c r="Y10" s="1172"/>
      <c r="Z10" s="1183"/>
      <c r="AA10" s="1177"/>
    </row>
    <row r="11" spans="2:27" s="617" customFormat="1" ht="24" customHeight="1">
      <c r="B11" s="1189" t="s">
        <v>276</v>
      </c>
      <c r="C11" s="1179"/>
      <c r="D11" s="1190"/>
      <c r="E11" s="785"/>
      <c r="F11" s="1191"/>
      <c r="G11" s="1191"/>
      <c r="H11" s="1190"/>
      <c r="I11" s="1192"/>
      <c r="J11" s="1191"/>
      <c r="K11" s="1303" t="s">
        <v>578</v>
      </c>
      <c r="L11" s="1194" t="str">
        <f>"3*"&amp;TEXT(K12,"@")</f>
        <v>3*135</v>
      </c>
      <c r="M11" s="1195"/>
      <c r="N11" s="1190"/>
      <c r="O11" s="1196"/>
      <c r="P11" s="1197"/>
      <c r="Q11" s="1191"/>
      <c r="R11" s="1197"/>
      <c r="S11" s="1191"/>
      <c r="T11" s="1190"/>
      <c r="U11" s="1191"/>
      <c r="V11" s="1198"/>
      <c r="W11" s="1199"/>
      <c r="X11" s="1198"/>
      <c r="Y11" s="1191"/>
      <c r="Z11" s="1200"/>
      <c r="AA11" s="1201"/>
    </row>
    <row r="12" spans="2:27" s="617" customFormat="1" ht="24" customHeight="1">
      <c r="B12" s="1184" t="s">
        <v>577</v>
      </c>
      <c r="C12" s="1185">
        <v>135</v>
      </c>
      <c r="D12" s="1202">
        <v>4</v>
      </c>
      <c r="E12" s="1171">
        <f>C12</f>
        <v>135</v>
      </c>
      <c r="F12" s="1203"/>
      <c r="G12" s="1204"/>
      <c r="H12" s="1205"/>
      <c r="I12" s="1206"/>
      <c r="J12" s="1204"/>
      <c r="K12" s="1180">
        <v>135</v>
      </c>
      <c r="L12" s="1188">
        <f>3*K12</f>
        <v>405</v>
      </c>
      <c r="M12" s="1208" t="s">
        <v>747</v>
      </c>
      <c r="N12" s="1205"/>
      <c r="O12" s="1209"/>
      <c r="P12" s="1210"/>
      <c r="Q12" s="1204"/>
      <c r="R12" s="1210"/>
      <c r="S12" s="1204"/>
      <c r="T12" s="1205"/>
      <c r="U12" s="1211"/>
      <c r="V12" s="1212"/>
      <c r="W12" s="1211"/>
      <c r="X12" s="1212"/>
      <c r="Y12" s="1204"/>
      <c r="Z12" s="650"/>
      <c r="AA12" s="1213"/>
    </row>
    <row r="13" spans="2:27" s="617" customFormat="1" ht="24" customHeight="1">
      <c r="B13" s="1189" t="s">
        <v>276</v>
      </c>
      <c r="C13" s="1171"/>
      <c r="D13" s="1171"/>
      <c r="E13" s="786"/>
      <c r="F13" s="1179"/>
      <c r="G13" s="1172"/>
      <c r="H13" s="1171"/>
      <c r="I13" s="767"/>
      <c r="J13" s="1172"/>
      <c r="K13" s="1303"/>
      <c r="L13" s="1194"/>
      <c r="M13" s="1481">
        <v>30</v>
      </c>
      <c r="N13" s="1171"/>
      <c r="O13" s="1214" t="s">
        <v>578</v>
      </c>
      <c r="P13" s="785"/>
      <c r="Q13" s="1172"/>
      <c r="R13" s="785"/>
      <c r="S13" s="1172"/>
      <c r="T13" s="1190"/>
      <c r="U13" s="1199"/>
      <c r="V13" s="1176"/>
      <c r="W13" s="1215"/>
      <c r="X13" s="1176"/>
      <c r="Y13" s="1172"/>
      <c r="Z13" s="1216"/>
      <c r="AA13" s="1177"/>
    </row>
    <row r="14" spans="2:27" s="617" customFormat="1" ht="24" customHeight="1">
      <c r="B14" s="1184" t="s">
        <v>584</v>
      </c>
      <c r="C14" s="1210">
        <v>55</v>
      </c>
      <c r="D14" s="1202">
        <v>4</v>
      </c>
      <c r="E14" s="1187">
        <f>C14</f>
        <v>55</v>
      </c>
      <c r="F14" s="1217"/>
      <c r="G14" s="1204"/>
      <c r="H14" s="1205"/>
      <c r="I14" s="1206"/>
      <c r="J14" s="1204"/>
      <c r="K14" s="1207"/>
      <c r="L14" s="1188"/>
      <c r="M14" s="1482">
        <v>10</v>
      </c>
      <c r="N14" s="1205">
        <v>0.1</v>
      </c>
      <c r="O14" s="1209">
        <f>C14-K14-M14</f>
        <v>45</v>
      </c>
      <c r="P14" s="1210"/>
      <c r="Q14" s="1204"/>
      <c r="R14" s="1210"/>
      <c r="S14" s="1204"/>
      <c r="T14" s="1205"/>
      <c r="U14" s="1204"/>
      <c r="V14" s="1212"/>
      <c r="W14" s="1211"/>
      <c r="X14" s="1212"/>
      <c r="Y14" s="1204"/>
      <c r="Z14" s="1218"/>
      <c r="AA14" s="1219"/>
    </row>
    <row r="15" spans="2:27" s="617" customFormat="1" ht="24" customHeight="1">
      <c r="B15" s="1189" t="s">
        <v>276</v>
      </c>
      <c r="C15" s="1171"/>
      <c r="D15" s="1171"/>
      <c r="E15" s="786"/>
      <c r="F15" s="1179"/>
      <c r="G15" s="1172"/>
      <c r="H15" s="1171"/>
      <c r="I15" s="767"/>
      <c r="J15" s="1172"/>
      <c r="K15" s="1180"/>
      <c r="L15" s="1181"/>
      <c r="M15" s="1182"/>
      <c r="N15" s="1171"/>
      <c r="O15" s="1214" t="s">
        <v>578</v>
      </c>
      <c r="P15" s="785"/>
      <c r="Q15" s="1172"/>
      <c r="R15" s="785"/>
      <c r="S15" s="1172"/>
      <c r="T15" s="1171"/>
      <c r="U15" s="1172"/>
      <c r="V15" s="1176"/>
      <c r="W15" s="1175"/>
      <c r="X15" s="1176"/>
      <c r="Y15" s="1172"/>
      <c r="Z15" s="1183"/>
      <c r="AA15" s="1177"/>
    </row>
    <row r="16" spans="2:27" s="617" customFormat="1" ht="24" customHeight="1">
      <c r="B16" s="1184" t="s">
        <v>585</v>
      </c>
      <c r="C16" s="1210">
        <v>58</v>
      </c>
      <c r="D16" s="1202">
        <v>4</v>
      </c>
      <c r="E16" s="1187">
        <f>C16</f>
        <v>58</v>
      </c>
      <c r="F16" s="1217"/>
      <c r="G16" s="1204"/>
      <c r="H16" s="1205"/>
      <c r="I16" s="1221"/>
      <c r="J16" s="1222"/>
      <c r="K16" s="1207"/>
      <c r="L16" s="1188"/>
      <c r="M16" s="1208"/>
      <c r="N16" s="1205">
        <v>0.1</v>
      </c>
      <c r="O16" s="1209">
        <f>C16-K16</f>
        <v>58</v>
      </c>
      <c r="P16" s="1210"/>
      <c r="Q16" s="1204"/>
      <c r="R16" s="1210"/>
      <c r="S16" s="1204"/>
      <c r="T16" s="1205"/>
      <c r="U16" s="1204"/>
      <c r="V16" s="1212"/>
      <c r="W16" s="1211"/>
      <c r="X16" s="1212"/>
      <c r="Y16" s="1204"/>
      <c r="Z16" s="1218"/>
      <c r="AA16" s="1219"/>
    </row>
    <row r="17" spans="2:27" s="617" customFormat="1" ht="24" customHeight="1">
      <c r="B17" s="1189" t="s">
        <v>276</v>
      </c>
      <c r="C17" s="1171"/>
      <c r="D17" s="1171"/>
      <c r="E17" s="787"/>
      <c r="F17" s="1179"/>
      <c r="G17" s="1172"/>
      <c r="H17" s="1171"/>
      <c r="I17" s="767"/>
      <c r="J17" s="1172"/>
      <c r="K17" s="1180"/>
      <c r="L17" s="1181"/>
      <c r="M17" s="1304"/>
      <c r="N17" s="1171"/>
      <c r="O17" s="1214" t="s">
        <v>578</v>
      </c>
      <c r="P17" s="785"/>
      <c r="Q17" s="1172"/>
      <c r="R17" s="785"/>
      <c r="S17" s="1172"/>
      <c r="T17" s="1171"/>
      <c r="U17" s="1172"/>
      <c r="V17" s="1176"/>
      <c r="W17" s="1175"/>
      <c r="X17" s="1176"/>
      <c r="Y17" s="1172"/>
      <c r="Z17" s="1183"/>
      <c r="AA17" s="1177"/>
    </row>
    <row r="18" spans="2:27" s="617" customFormat="1" ht="24" customHeight="1">
      <c r="B18" s="1184" t="s">
        <v>586</v>
      </c>
      <c r="C18" s="1353">
        <v>87</v>
      </c>
      <c r="D18" s="1202">
        <v>4</v>
      </c>
      <c r="E18" s="1220">
        <f>C18</f>
        <v>87</v>
      </c>
      <c r="F18" s="1217"/>
      <c r="G18" s="1204"/>
      <c r="H18" s="1205"/>
      <c r="I18" s="1221"/>
      <c r="J18" s="1222"/>
      <c r="K18" s="1207"/>
      <c r="L18" s="1188"/>
      <c r="M18" s="1305"/>
      <c r="N18" s="1205">
        <v>0.1</v>
      </c>
      <c r="O18" s="1209">
        <f>C18-K18</f>
        <v>87</v>
      </c>
      <c r="P18" s="1210"/>
      <c r="Q18" s="1204"/>
      <c r="R18" s="1210"/>
      <c r="S18" s="1204"/>
      <c r="T18" s="1205"/>
      <c r="U18" s="1204"/>
      <c r="V18" s="1212"/>
      <c r="W18" s="1211"/>
      <c r="X18" s="1212"/>
      <c r="Y18" s="1204"/>
      <c r="Z18" s="1218"/>
      <c r="AA18" s="1219"/>
    </row>
    <row r="19" spans="2:27" s="617" customFormat="1" ht="24" customHeight="1">
      <c r="B19" s="1189" t="s">
        <v>276</v>
      </c>
      <c r="C19" s="1190"/>
      <c r="D19" s="1171"/>
      <c r="E19" s="861"/>
      <c r="F19" s="1179"/>
      <c r="G19" s="1172"/>
      <c r="H19" s="1171"/>
      <c r="I19" s="767"/>
      <c r="J19" s="1172"/>
      <c r="K19" s="1303"/>
      <c r="L19" s="1194"/>
      <c r="M19" s="1182"/>
      <c r="N19" s="1171"/>
      <c r="O19" s="1214" t="s">
        <v>578</v>
      </c>
      <c r="P19" s="785"/>
      <c r="Q19" s="1172"/>
      <c r="R19" s="785"/>
      <c r="S19" s="1172"/>
      <c r="T19" s="1171"/>
      <c r="U19" s="1172"/>
      <c r="V19" s="1176"/>
      <c r="W19" s="1175"/>
      <c r="X19" s="1176"/>
      <c r="Y19" s="1172"/>
      <c r="Z19" s="1183"/>
      <c r="AA19" s="1177"/>
    </row>
    <row r="20" spans="2:27" s="617" customFormat="1" ht="24" customHeight="1">
      <c r="B20" s="1184" t="s">
        <v>587</v>
      </c>
      <c r="C20" s="1210">
        <v>60</v>
      </c>
      <c r="D20" s="1202">
        <v>4</v>
      </c>
      <c r="E20" s="1187">
        <f>C20</f>
        <v>60</v>
      </c>
      <c r="F20" s="1217"/>
      <c r="G20" s="1204"/>
      <c r="H20" s="1205"/>
      <c r="I20" s="1206"/>
      <c r="J20" s="1204"/>
      <c r="K20" s="1207"/>
      <c r="L20" s="1188"/>
      <c r="M20" s="1208"/>
      <c r="N20" s="1205">
        <v>0.1</v>
      </c>
      <c r="O20" s="1209">
        <f>C20-K20</f>
        <v>60</v>
      </c>
      <c r="P20" s="1210"/>
      <c r="Q20" s="1204"/>
      <c r="R20" s="1210"/>
      <c r="S20" s="1204"/>
      <c r="T20" s="1205"/>
      <c r="U20" s="1204"/>
      <c r="V20" s="1212"/>
      <c r="W20" s="1211"/>
      <c r="X20" s="1212"/>
      <c r="Y20" s="1204"/>
      <c r="Z20" s="1218"/>
      <c r="AA20" s="1219"/>
    </row>
    <row r="21" spans="2:27" s="617" customFormat="1" ht="24" customHeight="1">
      <c r="B21" s="1189" t="s">
        <v>276</v>
      </c>
      <c r="C21" s="1190"/>
      <c r="D21" s="1171"/>
      <c r="E21" s="861"/>
      <c r="F21" s="1179"/>
      <c r="G21" s="1172"/>
      <c r="H21" s="1171"/>
      <c r="I21" s="767"/>
      <c r="J21" s="1172"/>
      <c r="K21" s="1180"/>
      <c r="L21" s="1194"/>
      <c r="M21" s="1304"/>
      <c r="N21" s="1171"/>
      <c r="O21" s="1214" t="s">
        <v>578</v>
      </c>
      <c r="P21" s="785"/>
      <c r="Q21" s="1172"/>
      <c r="R21" s="785"/>
      <c r="S21" s="1172"/>
      <c r="T21" s="1171"/>
      <c r="U21" s="1172"/>
      <c r="V21" s="1176"/>
      <c r="W21" s="1175"/>
      <c r="X21" s="1176"/>
      <c r="Y21" s="1172"/>
      <c r="Z21" s="1183"/>
      <c r="AA21" s="1177"/>
    </row>
    <row r="22" spans="2:27" s="617" customFormat="1" ht="24" customHeight="1">
      <c r="B22" s="1184" t="s">
        <v>588</v>
      </c>
      <c r="C22" s="1210">
        <v>55</v>
      </c>
      <c r="D22" s="1202">
        <v>4</v>
      </c>
      <c r="E22" s="1187">
        <f>C22</f>
        <v>55</v>
      </c>
      <c r="F22" s="1217"/>
      <c r="G22" s="1204"/>
      <c r="H22" s="1205"/>
      <c r="I22" s="1206"/>
      <c r="J22" s="1204"/>
      <c r="K22" s="1207"/>
      <c r="L22" s="1188"/>
      <c r="M22" s="1305"/>
      <c r="N22" s="1205">
        <v>0.1</v>
      </c>
      <c r="O22" s="1209">
        <f>C22-K22</f>
        <v>55</v>
      </c>
      <c r="P22" s="1210"/>
      <c r="Q22" s="1204"/>
      <c r="R22" s="1210"/>
      <c r="S22" s="1204"/>
      <c r="T22" s="1205"/>
      <c r="U22" s="1204"/>
      <c r="V22" s="1212"/>
      <c r="W22" s="1211"/>
      <c r="X22" s="1212"/>
      <c r="Y22" s="1204"/>
      <c r="Z22" s="1218"/>
      <c r="AA22" s="1219"/>
    </row>
    <row r="23" spans="2:27" s="617" customFormat="1" ht="24" customHeight="1">
      <c r="B23" s="1189" t="s">
        <v>276</v>
      </c>
      <c r="C23" s="1190"/>
      <c r="D23" s="1171"/>
      <c r="E23" s="861"/>
      <c r="F23" s="1179"/>
      <c r="G23" s="1172"/>
      <c r="H23" s="1171"/>
      <c r="I23" s="767"/>
      <c r="J23" s="1172"/>
      <c r="K23" s="1303" t="s">
        <v>578</v>
      </c>
      <c r="L23" s="1194" t="str">
        <f>"3*"&amp;TEXT(K24,"@")</f>
        <v>3*183</v>
      </c>
      <c r="M23" s="1304"/>
      <c r="N23" s="1171"/>
      <c r="O23" s="1214"/>
      <c r="P23" s="785"/>
      <c r="Q23" s="1172"/>
      <c r="R23" s="785"/>
      <c r="S23" s="1172"/>
      <c r="T23" s="1171"/>
      <c r="U23" s="1172"/>
      <c r="V23" s="1176"/>
      <c r="W23" s="1175"/>
      <c r="X23" s="1176"/>
      <c r="Y23" s="1172"/>
      <c r="Z23" s="1183"/>
      <c r="AA23" s="1177"/>
    </row>
    <row r="24" spans="2:27" s="617" customFormat="1" ht="24" customHeight="1">
      <c r="B24" s="1184" t="s">
        <v>589</v>
      </c>
      <c r="C24" s="1210">
        <v>183</v>
      </c>
      <c r="D24" s="1202">
        <v>4</v>
      </c>
      <c r="E24" s="1187">
        <f>C24</f>
        <v>183</v>
      </c>
      <c r="F24" s="1217"/>
      <c r="G24" s="1204"/>
      <c r="H24" s="1205"/>
      <c r="I24" s="1206"/>
      <c r="J24" s="1204"/>
      <c r="K24" s="1180">
        <v>183</v>
      </c>
      <c r="L24" s="1188">
        <f>3*K24</f>
        <v>549</v>
      </c>
      <c r="M24" s="1305"/>
      <c r="N24" s="1205"/>
      <c r="O24" s="1209"/>
      <c r="P24" s="1210"/>
      <c r="Q24" s="1204"/>
      <c r="R24" s="1210"/>
      <c r="S24" s="1204"/>
      <c r="T24" s="1205"/>
      <c r="U24" s="1204"/>
      <c r="V24" s="1212"/>
      <c r="W24" s="1211"/>
      <c r="X24" s="1212"/>
      <c r="Y24" s="1204"/>
      <c r="Z24" s="1218"/>
      <c r="AA24" s="1219"/>
    </row>
    <row r="25" spans="2:27" s="617" customFormat="1" ht="24" customHeight="1">
      <c r="B25" s="1189" t="s">
        <v>276</v>
      </c>
      <c r="C25" s="1190"/>
      <c r="D25" s="1171"/>
      <c r="E25" s="861"/>
      <c r="F25" s="1179"/>
      <c r="G25" s="1172"/>
      <c r="H25" s="1171"/>
      <c r="I25" s="767"/>
      <c r="J25" s="1172"/>
      <c r="K25" s="1303" t="s">
        <v>578</v>
      </c>
      <c r="L25" s="1194" t="str">
        <f>"3*"&amp;TEXT(K26,"@")</f>
        <v>3*121</v>
      </c>
      <c r="M25" s="1304"/>
      <c r="N25" s="1171"/>
      <c r="O25" s="1214"/>
      <c r="P25" s="785"/>
      <c r="Q25" s="1172"/>
      <c r="R25" s="785"/>
      <c r="S25" s="1172"/>
      <c r="T25" s="1171"/>
      <c r="U25" s="1172"/>
      <c r="V25" s="1176"/>
      <c r="W25" s="1175"/>
      <c r="X25" s="1176"/>
      <c r="Y25" s="1172"/>
      <c r="Z25" s="1183"/>
      <c r="AA25" s="1177"/>
    </row>
    <row r="26" spans="2:27" s="617" customFormat="1" ht="24" customHeight="1">
      <c r="B26" s="1184" t="s">
        <v>590</v>
      </c>
      <c r="C26" s="1210">
        <v>121</v>
      </c>
      <c r="D26" s="1202">
        <v>4</v>
      </c>
      <c r="E26" s="1187">
        <f>C26</f>
        <v>121</v>
      </c>
      <c r="F26" s="1217"/>
      <c r="G26" s="1204"/>
      <c r="H26" s="1205"/>
      <c r="I26" s="1206"/>
      <c r="J26" s="1204"/>
      <c r="K26" s="1319">
        <v>121</v>
      </c>
      <c r="L26" s="1188">
        <f>3*K26</f>
        <v>363</v>
      </c>
      <c r="M26" s="1305"/>
      <c r="N26" s="1205"/>
      <c r="O26" s="1209"/>
      <c r="P26" s="1210"/>
      <c r="Q26" s="1204"/>
      <c r="R26" s="1210"/>
      <c r="S26" s="1204"/>
      <c r="T26" s="1205"/>
      <c r="U26" s="1204"/>
      <c r="V26" s="1212"/>
      <c r="W26" s="1211"/>
      <c r="X26" s="1212"/>
      <c r="Y26" s="1204"/>
      <c r="Z26" s="1218"/>
      <c r="AA26" s="1219"/>
    </row>
    <row r="27" spans="2:27" s="617" customFormat="1" ht="24" customHeight="1">
      <c r="B27" s="1189" t="s">
        <v>276</v>
      </c>
      <c r="C27" s="1190"/>
      <c r="D27" s="1171"/>
      <c r="E27" s="861"/>
      <c r="F27" s="1179"/>
      <c r="G27" s="1172"/>
      <c r="H27" s="1171"/>
      <c r="I27" s="767"/>
      <c r="J27" s="1172"/>
      <c r="K27" s="1180"/>
      <c r="L27" s="1181"/>
      <c r="M27" s="1304"/>
      <c r="N27" s="1171"/>
      <c r="O27" s="1214" t="s">
        <v>578</v>
      </c>
      <c r="P27" s="785"/>
      <c r="Q27" s="1172"/>
      <c r="R27" s="785"/>
      <c r="S27" s="1172"/>
      <c r="T27" s="1171"/>
      <c r="U27" s="1172"/>
      <c r="V27" s="1176"/>
      <c r="W27" s="1175"/>
      <c r="X27" s="1176"/>
      <c r="Y27" s="1172"/>
      <c r="Z27" s="1183"/>
      <c r="AA27" s="1177"/>
    </row>
    <row r="28" spans="2:27" s="617" customFormat="1" ht="24" customHeight="1">
      <c r="B28" s="1184" t="s">
        <v>591</v>
      </c>
      <c r="C28" s="1210">
        <v>63</v>
      </c>
      <c r="D28" s="1202">
        <v>4</v>
      </c>
      <c r="E28" s="1187">
        <f>C28</f>
        <v>63</v>
      </c>
      <c r="F28" s="1217"/>
      <c r="G28" s="1204"/>
      <c r="H28" s="1205"/>
      <c r="I28" s="1206"/>
      <c r="J28" s="1204"/>
      <c r="K28" s="1207"/>
      <c r="L28" s="1188"/>
      <c r="M28" s="1305"/>
      <c r="N28" s="1205">
        <v>0.1</v>
      </c>
      <c r="O28" s="1209">
        <f>C28-K28</f>
        <v>63</v>
      </c>
      <c r="P28" s="1210"/>
      <c r="Q28" s="1204"/>
      <c r="R28" s="1210"/>
      <c r="S28" s="1204"/>
      <c r="T28" s="1205"/>
      <c r="U28" s="1204"/>
      <c r="V28" s="1212"/>
      <c r="W28" s="1211"/>
      <c r="X28" s="1212"/>
      <c r="Y28" s="1204"/>
      <c r="Z28" s="1218"/>
      <c r="AA28" s="1219"/>
    </row>
    <row r="29" spans="2:27" s="617" customFormat="1" ht="24" customHeight="1">
      <c r="B29" s="1189" t="s">
        <v>276</v>
      </c>
      <c r="C29" s="1190"/>
      <c r="D29" s="1171"/>
      <c r="E29" s="861"/>
      <c r="F29" s="1179"/>
      <c r="G29" s="1172"/>
      <c r="H29" s="1171"/>
      <c r="I29" s="767"/>
      <c r="J29" s="1172"/>
      <c r="K29" s="1180"/>
      <c r="L29" s="1181"/>
      <c r="M29" s="1223"/>
      <c r="N29" s="1171"/>
      <c r="O29" s="1214" t="s">
        <v>578</v>
      </c>
      <c r="P29" s="785"/>
      <c r="Q29" s="1172"/>
      <c r="R29" s="785"/>
      <c r="S29" s="1172"/>
      <c r="T29" s="1171"/>
      <c r="U29" s="1172"/>
      <c r="V29" s="1176"/>
      <c r="W29" s="1175"/>
      <c r="X29" s="1176"/>
      <c r="Y29" s="1172"/>
      <c r="Z29" s="1183"/>
      <c r="AA29" s="1177"/>
    </row>
    <row r="30" spans="2:27" s="617" customFormat="1" ht="24" customHeight="1">
      <c r="B30" s="1184" t="s">
        <v>592</v>
      </c>
      <c r="C30" s="1210">
        <v>50</v>
      </c>
      <c r="D30" s="1202">
        <v>4</v>
      </c>
      <c r="E30" s="1187">
        <f>C30</f>
        <v>50</v>
      </c>
      <c r="F30" s="1217"/>
      <c r="G30" s="1204"/>
      <c r="H30" s="1205"/>
      <c r="I30" s="1206"/>
      <c r="J30" s="1204"/>
      <c r="K30" s="1207"/>
      <c r="L30" s="1188"/>
      <c r="M30" s="1208"/>
      <c r="N30" s="1205">
        <v>0.1</v>
      </c>
      <c r="O30" s="1209">
        <f>C30-K30</f>
        <v>50</v>
      </c>
      <c r="P30" s="1210"/>
      <c r="Q30" s="1204"/>
      <c r="R30" s="1210"/>
      <c r="S30" s="1204"/>
      <c r="T30" s="1205"/>
      <c r="U30" s="1204"/>
      <c r="V30" s="1212"/>
      <c r="W30" s="1211"/>
      <c r="X30" s="1212"/>
      <c r="Y30" s="1204"/>
      <c r="Z30" s="1218"/>
      <c r="AA30" s="1219"/>
    </row>
    <row r="31" spans="2:27" s="617" customFormat="1" ht="24" customHeight="1">
      <c r="B31" s="1189" t="s">
        <v>276</v>
      </c>
      <c r="C31" s="1190"/>
      <c r="D31" s="1171"/>
      <c r="E31" s="861"/>
      <c r="F31" s="1179"/>
      <c r="G31" s="1172"/>
      <c r="H31" s="1171"/>
      <c r="I31" s="767"/>
      <c r="J31" s="1172"/>
      <c r="K31" s="1180"/>
      <c r="L31" s="1181"/>
      <c r="M31" s="1223"/>
      <c r="N31" s="1171"/>
      <c r="O31" s="1214" t="s">
        <v>578</v>
      </c>
      <c r="P31" s="785"/>
      <c r="Q31" s="1172"/>
      <c r="R31" s="785"/>
      <c r="S31" s="1172"/>
      <c r="T31" s="1171"/>
      <c r="U31" s="1172"/>
      <c r="V31" s="1176"/>
      <c r="W31" s="1175"/>
      <c r="X31" s="1176"/>
      <c r="Y31" s="1172"/>
      <c r="Z31" s="1183"/>
      <c r="AA31" s="1177"/>
    </row>
    <row r="32" spans="2:27" s="617" customFormat="1" ht="24" customHeight="1">
      <c r="B32" s="1184" t="s">
        <v>593</v>
      </c>
      <c r="C32" s="1210">
        <v>66</v>
      </c>
      <c r="D32" s="1202">
        <v>4</v>
      </c>
      <c r="E32" s="1187">
        <f>C32</f>
        <v>66</v>
      </c>
      <c r="F32" s="1217"/>
      <c r="G32" s="1204"/>
      <c r="H32" s="1205"/>
      <c r="I32" s="1206"/>
      <c r="J32" s="1204"/>
      <c r="K32" s="1207"/>
      <c r="L32" s="1188"/>
      <c r="M32" s="1208"/>
      <c r="N32" s="1205">
        <v>0.1</v>
      </c>
      <c r="O32" s="1209">
        <f>C32-K32</f>
        <v>66</v>
      </c>
      <c r="P32" s="1210"/>
      <c r="Q32" s="1204"/>
      <c r="R32" s="1210"/>
      <c r="S32" s="1204"/>
      <c r="T32" s="1205"/>
      <c r="U32" s="1204"/>
      <c r="V32" s="1212"/>
      <c r="W32" s="1211"/>
      <c r="X32" s="1212"/>
      <c r="Y32" s="1204"/>
      <c r="Z32" s="1218"/>
      <c r="AA32" s="1219"/>
    </row>
    <row r="33" spans="2:27" s="617" customFormat="1" ht="24" customHeight="1">
      <c r="B33" s="1189" t="s">
        <v>276</v>
      </c>
      <c r="C33" s="1190"/>
      <c r="D33" s="1171"/>
      <c r="E33" s="861"/>
      <c r="F33" s="1179"/>
      <c r="G33" s="1172"/>
      <c r="H33" s="1171"/>
      <c r="I33" s="767"/>
      <c r="J33" s="1172"/>
      <c r="K33" s="1180"/>
      <c r="L33" s="1181"/>
      <c r="M33" s="1223"/>
      <c r="N33" s="1171"/>
      <c r="O33" s="1214" t="s">
        <v>578</v>
      </c>
      <c r="P33" s="785"/>
      <c r="Q33" s="1172"/>
      <c r="R33" s="785"/>
      <c r="S33" s="1172"/>
      <c r="T33" s="1171"/>
      <c r="U33" s="1172"/>
      <c r="V33" s="1176"/>
      <c r="W33" s="1175"/>
      <c r="X33" s="1176"/>
      <c r="Y33" s="1172"/>
      <c r="Z33" s="1183"/>
      <c r="AA33" s="1177"/>
    </row>
    <row r="34" spans="2:27" s="617" customFormat="1" ht="24" customHeight="1">
      <c r="B34" s="1184" t="s">
        <v>517</v>
      </c>
      <c r="C34" s="1210">
        <v>107</v>
      </c>
      <c r="D34" s="1202">
        <v>4</v>
      </c>
      <c r="E34" s="1187">
        <f>C34</f>
        <v>107</v>
      </c>
      <c r="F34" s="1217"/>
      <c r="G34" s="1204"/>
      <c r="H34" s="1205"/>
      <c r="I34" s="1206"/>
      <c r="J34" s="1204"/>
      <c r="K34" s="1207"/>
      <c r="L34" s="1188"/>
      <c r="M34" s="1208"/>
      <c r="N34" s="1205">
        <v>0.1</v>
      </c>
      <c r="O34" s="1209">
        <f>C34-K34</f>
        <v>107</v>
      </c>
      <c r="P34" s="1210"/>
      <c r="Q34" s="1204"/>
      <c r="R34" s="1210"/>
      <c r="S34" s="1204"/>
      <c r="T34" s="1205"/>
      <c r="U34" s="1204"/>
      <c r="V34" s="1212"/>
      <c r="W34" s="1211"/>
      <c r="X34" s="1212"/>
      <c r="Y34" s="1204"/>
      <c r="Z34" s="1218"/>
      <c r="AA34" s="1219"/>
    </row>
    <row r="35" spans="2:27" s="617" customFormat="1" ht="24" customHeight="1">
      <c r="B35" s="1189" t="s">
        <v>276</v>
      </c>
      <c r="C35" s="1190"/>
      <c r="D35" s="1171"/>
      <c r="E35" s="861"/>
      <c r="F35" s="1179"/>
      <c r="G35" s="1172"/>
      <c r="H35" s="1171"/>
      <c r="I35" s="767"/>
      <c r="J35" s="1172"/>
      <c r="K35" s="1180"/>
      <c r="L35" s="1181"/>
      <c r="M35" s="1223"/>
      <c r="N35" s="1171"/>
      <c r="O35" s="1214" t="s">
        <v>578</v>
      </c>
      <c r="P35" s="785"/>
      <c r="Q35" s="1172"/>
      <c r="R35" s="785"/>
      <c r="S35" s="1172"/>
      <c r="T35" s="1171"/>
      <c r="U35" s="1172"/>
      <c r="V35" s="1176"/>
      <c r="W35" s="1175"/>
      <c r="X35" s="1176"/>
      <c r="Y35" s="1172"/>
      <c r="Z35" s="1183"/>
      <c r="AA35" s="1177"/>
    </row>
    <row r="36" spans="2:27" s="617" customFormat="1" ht="24" customHeight="1">
      <c r="B36" s="1184" t="s">
        <v>518</v>
      </c>
      <c r="C36" s="1210">
        <v>37</v>
      </c>
      <c r="D36" s="1202">
        <v>4</v>
      </c>
      <c r="E36" s="1187">
        <f>C36</f>
        <v>37</v>
      </c>
      <c r="F36" s="1217"/>
      <c r="G36" s="1204"/>
      <c r="H36" s="1205"/>
      <c r="I36" s="1206"/>
      <c r="J36" s="1204"/>
      <c r="K36" s="1207"/>
      <c r="L36" s="1188"/>
      <c r="M36" s="1208"/>
      <c r="N36" s="1205">
        <v>0.1</v>
      </c>
      <c r="O36" s="1209">
        <f>C36-K36</f>
        <v>37</v>
      </c>
      <c r="P36" s="1210"/>
      <c r="Q36" s="1204"/>
      <c r="R36" s="1210"/>
      <c r="S36" s="1204"/>
      <c r="T36" s="1205"/>
      <c r="U36" s="1204"/>
      <c r="V36" s="1212"/>
      <c r="W36" s="1211"/>
      <c r="X36" s="1212"/>
      <c r="Y36" s="1204"/>
      <c r="Z36" s="1218"/>
      <c r="AA36" s="1219"/>
    </row>
    <row r="37" spans="2:27" s="617" customFormat="1" ht="24" customHeight="1">
      <c r="B37" s="1189" t="s">
        <v>276</v>
      </c>
      <c r="C37" s="1190"/>
      <c r="D37" s="1171"/>
      <c r="E37" s="861"/>
      <c r="F37" s="1179"/>
      <c r="G37" s="1172"/>
      <c r="H37" s="1171"/>
      <c r="I37" s="767"/>
      <c r="J37" s="1172"/>
      <c r="K37" s="1180"/>
      <c r="L37" s="1181"/>
      <c r="M37" s="1223"/>
      <c r="N37" s="1171"/>
      <c r="O37" s="1214" t="s">
        <v>578</v>
      </c>
      <c r="P37" s="785"/>
      <c r="Q37" s="1172"/>
      <c r="R37" s="785"/>
      <c r="S37" s="1172"/>
      <c r="T37" s="1171"/>
      <c r="U37" s="1172"/>
      <c r="V37" s="1176"/>
      <c r="W37" s="1175"/>
      <c r="X37" s="1176"/>
      <c r="Y37" s="1172"/>
      <c r="Z37" s="1183"/>
      <c r="AA37" s="1177"/>
    </row>
    <row r="38" spans="2:27" s="617" customFormat="1" ht="24" customHeight="1">
      <c r="B38" s="1184" t="s">
        <v>689</v>
      </c>
      <c r="C38" s="1210">
        <v>184</v>
      </c>
      <c r="D38" s="1202">
        <v>4</v>
      </c>
      <c r="E38" s="1187">
        <f>C38</f>
        <v>184</v>
      </c>
      <c r="F38" s="1217"/>
      <c r="G38" s="1204"/>
      <c r="H38" s="1205"/>
      <c r="I38" s="1206"/>
      <c r="J38" s="1204"/>
      <c r="K38" s="1207"/>
      <c r="L38" s="1188"/>
      <c r="M38" s="1208"/>
      <c r="N38" s="1205">
        <v>0.1</v>
      </c>
      <c r="O38" s="1209">
        <f>C38-K38</f>
        <v>184</v>
      </c>
      <c r="P38" s="1210"/>
      <c r="Q38" s="1204"/>
      <c r="R38" s="1210"/>
      <c r="S38" s="1204"/>
      <c r="T38" s="1205"/>
      <c r="U38" s="1204"/>
      <c r="V38" s="1212"/>
      <c r="W38" s="1211"/>
      <c r="X38" s="1212"/>
      <c r="Y38" s="1204"/>
      <c r="Z38" s="1218"/>
      <c r="AA38" s="1219"/>
    </row>
    <row r="39" spans="2:27" s="617" customFormat="1" ht="24" customHeight="1">
      <c r="B39" s="1189" t="s">
        <v>276</v>
      </c>
      <c r="C39" s="1190"/>
      <c r="D39" s="1171"/>
      <c r="E39" s="861"/>
      <c r="F39" s="1179"/>
      <c r="G39" s="1172"/>
      <c r="H39" s="1171"/>
      <c r="I39" s="767"/>
      <c r="J39" s="1172"/>
      <c r="K39" s="1180"/>
      <c r="L39" s="1181"/>
      <c r="M39" s="1223"/>
      <c r="N39" s="1171"/>
      <c r="O39" s="1214" t="s">
        <v>578</v>
      </c>
      <c r="P39" s="785"/>
      <c r="Q39" s="1172"/>
      <c r="R39" s="785"/>
      <c r="S39" s="1172"/>
      <c r="T39" s="1171"/>
      <c r="U39" s="1172"/>
      <c r="V39" s="1176"/>
      <c r="W39" s="1175"/>
      <c r="X39" s="1176"/>
      <c r="Y39" s="1172"/>
      <c r="Z39" s="1183"/>
      <c r="AA39" s="1177"/>
    </row>
    <row r="40" spans="2:27" s="617" customFormat="1" ht="24" customHeight="1">
      <c r="B40" s="1184" t="s">
        <v>690</v>
      </c>
      <c r="C40" s="1210">
        <v>96</v>
      </c>
      <c r="D40" s="1202">
        <v>4</v>
      </c>
      <c r="E40" s="1187">
        <f>C40</f>
        <v>96</v>
      </c>
      <c r="F40" s="1217"/>
      <c r="G40" s="1204"/>
      <c r="H40" s="1205"/>
      <c r="I40" s="1206"/>
      <c r="J40" s="1204"/>
      <c r="K40" s="1207"/>
      <c r="L40" s="1188"/>
      <c r="M40" s="1208"/>
      <c r="N40" s="1205">
        <v>0.1</v>
      </c>
      <c r="O40" s="1209">
        <f>C40-K40</f>
        <v>96</v>
      </c>
      <c r="P40" s="1210"/>
      <c r="Q40" s="1204"/>
      <c r="R40" s="1210"/>
      <c r="S40" s="1204"/>
      <c r="T40" s="1205"/>
      <c r="U40" s="1204"/>
      <c r="V40" s="1212"/>
      <c r="W40" s="1211"/>
      <c r="X40" s="1212"/>
      <c r="Y40" s="1204"/>
      <c r="Z40" s="1218"/>
      <c r="AA40" s="1219"/>
    </row>
    <row r="41" spans="2:27" s="617" customFormat="1" ht="24" customHeight="1">
      <c r="B41" s="1189" t="s">
        <v>276</v>
      </c>
      <c r="C41" s="1190"/>
      <c r="D41" s="1171"/>
      <c r="E41" s="861"/>
      <c r="F41" s="1179"/>
      <c r="G41" s="1172"/>
      <c r="H41" s="1171"/>
      <c r="I41" s="767"/>
      <c r="J41" s="1172"/>
      <c r="K41" s="1180"/>
      <c r="L41" s="1181"/>
      <c r="M41" s="1223"/>
      <c r="N41" s="1171"/>
      <c r="O41" s="1214" t="s">
        <v>578</v>
      </c>
      <c r="P41" s="785"/>
      <c r="Q41" s="1172"/>
      <c r="R41" s="785"/>
      <c r="S41" s="1172"/>
      <c r="T41" s="1171"/>
      <c r="U41" s="1172"/>
      <c r="V41" s="1176"/>
      <c r="W41" s="1175"/>
      <c r="X41" s="1176"/>
      <c r="Y41" s="1172"/>
      <c r="Z41" s="1183"/>
      <c r="AA41" s="1177"/>
    </row>
    <row r="42" spans="2:27" s="617" customFormat="1" ht="24" customHeight="1">
      <c r="B42" s="1184" t="s">
        <v>721</v>
      </c>
      <c r="C42" s="1210">
        <v>44</v>
      </c>
      <c r="D42" s="1202">
        <v>4</v>
      </c>
      <c r="E42" s="1187">
        <f>C42</f>
        <v>44</v>
      </c>
      <c r="F42" s="1217"/>
      <c r="G42" s="1204"/>
      <c r="H42" s="1205"/>
      <c r="I42" s="1206"/>
      <c r="J42" s="1204"/>
      <c r="K42" s="1207"/>
      <c r="L42" s="1188"/>
      <c r="M42" s="1208"/>
      <c r="N42" s="1205">
        <v>0.1</v>
      </c>
      <c r="O42" s="1209">
        <f>C42-K42</f>
        <v>44</v>
      </c>
      <c r="P42" s="1210"/>
      <c r="Q42" s="1204"/>
      <c r="R42" s="1210"/>
      <c r="S42" s="1204"/>
      <c r="T42" s="1205"/>
      <c r="U42" s="1204"/>
      <c r="V42" s="1212"/>
      <c r="W42" s="1211"/>
      <c r="X42" s="1212"/>
      <c r="Y42" s="1204"/>
      <c r="Z42" s="1218"/>
      <c r="AA42" s="1219"/>
    </row>
    <row r="43" spans="2:27" s="617" customFormat="1" ht="24" customHeight="1">
      <c r="B43" s="1189" t="s">
        <v>276</v>
      </c>
      <c r="C43" s="1190"/>
      <c r="D43" s="1171"/>
      <c r="E43" s="861"/>
      <c r="F43" s="1179"/>
      <c r="G43" s="1172"/>
      <c r="H43" s="1171"/>
      <c r="I43" s="767"/>
      <c r="J43" s="1172"/>
      <c r="K43" s="1180"/>
      <c r="L43" s="1181"/>
      <c r="M43" s="1223"/>
      <c r="N43" s="1171"/>
      <c r="O43" s="1214" t="s">
        <v>578</v>
      </c>
      <c r="P43" s="785"/>
      <c r="Q43" s="1172"/>
      <c r="R43" s="785"/>
      <c r="S43" s="1172"/>
      <c r="T43" s="1171"/>
      <c r="U43" s="1172"/>
      <c r="V43" s="1176"/>
      <c r="W43" s="1175"/>
      <c r="X43" s="1176"/>
      <c r="Y43" s="1172"/>
      <c r="Z43" s="1183"/>
      <c r="AA43" s="1177"/>
    </row>
    <row r="44" spans="2:27" s="617" customFormat="1" ht="24" customHeight="1">
      <c r="B44" s="1184" t="s">
        <v>722</v>
      </c>
      <c r="C44" s="1210">
        <v>55</v>
      </c>
      <c r="D44" s="1202">
        <v>4</v>
      </c>
      <c r="E44" s="1187">
        <f>C44</f>
        <v>55</v>
      </c>
      <c r="F44" s="1217"/>
      <c r="G44" s="1204"/>
      <c r="H44" s="1205"/>
      <c r="I44" s="1206"/>
      <c r="J44" s="1204"/>
      <c r="K44" s="1207"/>
      <c r="L44" s="1188"/>
      <c r="M44" s="1208"/>
      <c r="N44" s="1205">
        <v>0.1</v>
      </c>
      <c r="O44" s="1209">
        <f>C44-K44</f>
        <v>55</v>
      </c>
      <c r="P44" s="1210"/>
      <c r="Q44" s="1204"/>
      <c r="R44" s="1210"/>
      <c r="S44" s="1204"/>
      <c r="T44" s="1205"/>
      <c r="U44" s="1204"/>
      <c r="V44" s="1212"/>
      <c r="W44" s="1211"/>
      <c r="X44" s="1212"/>
      <c r="Y44" s="1204"/>
      <c r="Z44" s="1218"/>
      <c r="AA44" s="1219"/>
    </row>
    <row r="45" spans="2:27" s="617" customFormat="1" ht="24" customHeight="1">
      <c r="B45" s="1189"/>
      <c r="C45" s="1171"/>
      <c r="D45" s="1171"/>
      <c r="E45" s="787"/>
      <c r="F45" s="1179"/>
      <c r="G45" s="1172"/>
      <c r="H45" s="1171"/>
      <c r="I45" s="767"/>
      <c r="J45" s="1172"/>
      <c r="K45" s="1180"/>
      <c r="L45" s="1181"/>
      <c r="M45" s="1223"/>
      <c r="N45" s="1171"/>
      <c r="O45" s="1225"/>
      <c r="P45" s="785"/>
      <c r="Q45" s="1172"/>
      <c r="R45" s="785"/>
      <c r="S45" s="1172"/>
      <c r="T45" s="1171"/>
      <c r="U45" s="1172"/>
      <c r="V45" s="1176"/>
      <c r="W45" s="1172"/>
      <c r="X45" s="1176"/>
      <c r="Y45" s="1172"/>
      <c r="Z45" s="1176"/>
      <c r="AA45" s="1177"/>
    </row>
    <row r="46" spans="2:27" s="617" customFormat="1" ht="24" customHeight="1">
      <c r="B46" s="1184"/>
      <c r="C46" s="1210"/>
      <c r="D46" s="1202"/>
      <c r="E46" s="1220"/>
      <c r="F46" s="1226"/>
      <c r="G46" s="1204"/>
      <c r="H46" s="1205"/>
      <c r="I46" s="1206"/>
      <c r="J46" s="1204"/>
      <c r="K46" s="1207"/>
      <c r="L46" s="1188"/>
      <c r="M46" s="1231"/>
      <c r="N46" s="1205"/>
      <c r="O46" s="1044"/>
      <c r="P46" s="1210"/>
      <c r="Q46" s="1204"/>
      <c r="R46" s="1210"/>
      <c r="S46" s="1204"/>
      <c r="T46" s="1205"/>
      <c r="U46" s="1204"/>
      <c r="V46" s="1212"/>
      <c r="W46" s="1204"/>
      <c r="X46" s="1212"/>
      <c r="Y46" s="1204"/>
      <c r="Z46" s="1212"/>
      <c r="AA46" s="1219"/>
    </row>
    <row r="47" spans="2:27" s="617" customFormat="1" ht="24" customHeight="1">
      <c r="B47" s="1493" t="s">
        <v>691</v>
      </c>
      <c r="C47" s="1494"/>
      <c r="D47" s="1171"/>
      <c r="E47" s="786" t="s">
        <v>720</v>
      </c>
      <c r="F47" s="1179"/>
      <c r="G47" s="1172"/>
      <c r="H47" s="1171"/>
      <c r="I47" s="767"/>
      <c r="J47" s="1172"/>
      <c r="K47" s="1180"/>
      <c r="L47" s="1181"/>
      <c r="M47" s="1223"/>
      <c r="N47" s="1171"/>
      <c r="O47" s="1225"/>
      <c r="P47" s="785"/>
      <c r="Q47" s="1172"/>
      <c r="R47" s="785"/>
      <c r="S47" s="1172"/>
      <c r="T47" s="1171"/>
      <c r="U47" s="1172"/>
      <c r="V47" s="1176"/>
      <c r="W47" s="1172"/>
      <c r="X47" s="1176"/>
      <c r="Y47" s="1172"/>
      <c r="Z47" s="1176"/>
      <c r="AA47" s="1177"/>
    </row>
    <row r="48" spans="2:27" s="617" customFormat="1" ht="24" customHeight="1">
      <c r="B48" s="1495" t="s">
        <v>746</v>
      </c>
      <c r="C48" s="1496"/>
      <c r="D48" s="1202"/>
      <c r="E48" s="1187"/>
      <c r="F48" s="1226"/>
      <c r="G48" s="1204"/>
      <c r="H48" s="1205"/>
      <c r="I48" s="1206"/>
      <c r="J48" s="1204"/>
      <c r="K48" s="1207"/>
      <c r="L48" s="1188"/>
      <c r="M48" s="1208"/>
      <c r="N48" s="1205"/>
      <c r="O48" s="1044"/>
      <c r="P48" s="1210"/>
      <c r="Q48" s="1204"/>
      <c r="R48" s="1210"/>
      <c r="S48" s="1204"/>
      <c r="T48" s="1205"/>
      <c r="U48" s="1204"/>
      <c r="V48" s="1212"/>
      <c r="W48" s="1204"/>
      <c r="X48" s="1212"/>
      <c r="Y48" s="1204"/>
      <c r="Z48" s="1212"/>
      <c r="AA48" s="1219"/>
    </row>
    <row r="49" spans="2:27" s="617" customFormat="1" ht="24" customHeight="1">
      <c r="B49" s="1178"/>
      <c r="C49" s="1171"/>
      <c r="D49" s="1171"/>
      <c r="E49" s="787"/>
      <c r="F49" s="1179"/>
      <c r="G49" s="1172"/>
      <c r="H49" s="1171"/>
      <c r="I49" s="767"/>
      <c r="J49" s="1172"/>
      <c r="K49" s="1180"/>
      <c r="L49" s="1181"/>
      <c r="M49" s="1223"/>
      <c r="N49" s="1171"/>
      <c r="O49" s="1225"/>
      <c r="P49" s="785"/>
      <c r="Q49" s="1172"/>
      <c r="R49" s="785"/>
      <c r="S49" s="1172"/>
      <c r="T49" s="1171"/>
      <c r="U49" s="1172"/>
      <c r="V49" s="1176"/>
      <c r="W49" s="1172"/>
      <c r="X49" s="1176"/>
      <c r="Y49" s="1172"/>
      <c r="Z49" s="1176"/>
      <c r="AA49" s="1177"/>
    </row>
    <row r="50" spans="2:27" s="617" customFormat="1" ht="24" customHeight="1">
      <c r="B50" s="1184"/>
      <c r="C50" s="1210"/>
      <c r="D50" s="1202"/>
      <c r="E50" s="1220"/>
      <c r="F50" s="1226"/>
      <c r="G50" s="1204"/>
      <c r="H50" s="1205"/>
      <c r="I50" s="1206"/>
      <c r="J50" s="1204"/>
      <c r="K50" s="1207"/>
      <c r="L50" s="1188"/>
      <c r="M50" s="1208"/>
      <c r="N50" s="1205"/>
      <c r="O50" s="1044"/>
      <c r="P50" s="1210"/>
      <c r="Q50" s="1204"/>
      <c r="R50" s="1210"/>
      <c r="S50" s="1204"/>
      <c r="T50" s="1205"/>
      <c r="U50" s="1204"/>
      <c r="V50" s="1212"/>
      <c r="W50" s="1204"/>
      <c r="X50" s="1212"/>
      <c r="Y50" s="1204"/>
      <c r="Z50" s="1212"/>
      <c r="AA50" s="1219"/>
    </row>
    <row r="51" spans="2:27" s="617" customFormat="1" ht="24" customHeight="1">
      <c r="B51" s="1189"/>
      <c r="C51" s="1171"/>
      <c r="D51" s="1171"/>
      <c r="E51" s="786"/>
      <c r="F51" s="1179"/>
      <c r="G51" s="1172"/>
      <c r="H51" s="1171"/>
      <c r="I51" s="767"/>
      <c r="J51" s="1172"/>
      <c r="K51" s="1180"/>
      <c r="L51" s="1181"/>
      <c r="M51" s="1223"/>
      <c r="N51" s="1171"/>
      <c r="O51" s="1225"/>
      <c r="P51" s="785"/>
      <c r="Q51" s="1172"/>
      <c r="R51" s="785"/>
      <c r="S51" s="1172"/>
      <c r="T51" s="1171"/>
      <c r="U51" s="1172"/>
      <c r="V51" s="1176"/>
      <c r="W51" s="1172"/>
      <c r="X51" s="1176"/>
      <c r="Y51" s="1172"/>
      <c r="Z51" s="1176"/>
      <c r="AA51" s="1177"/>
    </row>
    <row r="52" spans="2:27" s="617" customFormat="1" ht="24" customHeight="1">
      <c r="B52" s="1184"/>
      <c r="C52" s="1210"/>
      <c r="D52" s="1202"/>
      <c r="E52" s="1187"/>
      <c r="F52" s="1226"/>
      <c r="G52" s="1204"/>
      <c r="H52" s="1205"/>
      <c r="I52" s="1206"/>
      <c r="J52" s="1204"/>
      <c r="K52" s="1207"/>
      <c r="L52" s="1188"/>
      <c r="M52" s="1208"/>
      <c r="N52" s="1205"/>
      <c r="O52" s="1044"/>
      <c r="P52" s="1210"/>
      <c r="Q52" s="1204"/>
      <c r="R52" s="1210"/>
      <c r="S52" s="1204"/>
      <c r="T52" s="1205"/>
      <c r="U52" s="1204"/>
      <c r="V52" s="1212"/>
      <c r="W52" s="1204"/>
      <c r="X52" s="1212"/>
      <c r="Y52" s="1204"/>
      <c r="Z52" s="1212"/>
      <c r="AA52" s="1219"/>
    </row>
    <row r="53" spans="2:27" s="617" customFormat="1" ht="24" customHeight="1">
      <c r="B53" s="1189"/>
      <c r="C53" s="1171"/>
      <c r="D53" s="1171"/>
      <c r="E53" s="786"/>
      <c r="F53" s="1179"/>
      <c r="G53" s="1172"/>
      <c r="H53" s="1171"/>
      <c r="I53" s="767"/>
      <c r="J53" s="1172"/>
      <c r="K53" s="1180"/>
      <c r="L53" s="1181"/>
      <c r="M53" s="1223"/>
      <c r="N53" s="1171"/>
      <c r="O53" s="1225"/>
      <c r="P53" s="785"/>
      <c r="Q53" s="1172"/>
      <c r="R53" s="785"/>
      <c r="S53" s="1172"/>
      <c r="T53" s="1171"/>
      <c r="U53" s="1172"/>
      <c r="V53" s="1176"/>
      <c r="W53" s="1172"/>
      <c r="X53" s="1176"/>
      <c r="Y53" s="1172"/>
      <c r="Z53" s="1176"/>
      <c r="AA53" s="1177"/>
    </row>
    <row r="54" spans="2:27" s="617" customFormat="1" ht="24" customHeight="1">
      <c r="B54" s="1184"/>
      <c r="C54" s="1210"/>
      <c r="D54" s="1202"/>
      <c r="E54" s="1187"/>
      <c r="F54" s="1226"/>
      <c r="G54" s="1204"/>
      <c r="H54" s="1205"/>
      <c r="I54" s="1206"/>
      <c r="J54" s="1204"/>
      <c r="K54" s="1207"/>
      <c r="L54" s="1188"/>
      <c r="M54" s="1208"/>
      <c r="N54" s="1205"/>
      <c r="O54" s="1044"/>
      <c r="P54" s="1210"/>
      <c r="Q54" s="1204"/>
      <c r="R54" s="1210"/>
      <c r="S54" s="1204"/>
      <c r="T54" s="1205"/>
      <c r="U54" s="1204"/>
      <c r="V54" s="1212"/>
      <c r="W54" s="1204"/>
      <c r="X54" s="1212"/>
      <c r="Y54" s="1204"/>
      <c r="Z54" s="1212"/>
      <c r="AA54" s="1219"/>
    </row>
    <row r="55" spans="2:27" s="617" customFormat="1" ht="24" customHeight="1">
      <c r="B55" s="1189"/>
      <c r="C55" s="1171"/>
      <c r="D55" s="1171"/>
      <c r="E55" s="787"/>
      <c r="F55" s="1179"/>
      <c r="G55" s="1172"/>
      <c r="H55" s="1171"/>
      <c r="I55" s="767"/>
      <c r="J55" s="1172"/>
      <c r="K55" s="1180"/>
      <c r="L55" s="1181"/>
      <c r="M55" s="1223"/>
      <c r="N55" s="1171"/>
      <c r="O55" s="1225"/>
      <c r="P55" s="785"/>
      <c r="Q55" s="1172"/>
      <c r="R55" s="785"/>
      <c r="S55" s="1172"/>
      <c r="T55" s="1171"/>
      <c r="U55" s="1172"/>
      <c r="V55" s="1176"/>
      <c r="W55" s="1172"/>
      <c r="X55" s="1176"/>
      <c r="Y55" s="1172"/>
      <c r="Z55" s="1176"/>
      <c r="AA55" s="1177"/>
    </row>
    <row r="56" spans="2:27" s="617" customFormat="1" ht="24" customHeight="1">
      <c r="B56" s="1184"/>
      <c r="C56" s="1210"/>
      <c r="D56" s="1202"/>
      <c r="E56" s="1220"/>
      <c r="F56" s="1226"/>
      <c r="G56" s="1204"/>
      <c r="H56" s="1205"/>
      <c r="I56" s="1206"/>
      <c r="J56" s="1204"/>
      <c r="K56" s="1207"/>
      <c r="L56" s="1188"/>
      <c r="M56" s="1208"/>
      <c r="N56" s="1205"/>
      <c r="O56" s="1044"/>
      <c r="P56" s="1210"/>
      <c r="Q56" s="1204"/>
      <c r="R56" s="1210"/>
      <c r="S56" s="1204"/>
      <c r="T56" s="1205"/>
      <c r="U56" s="1204"/>
      <c r="V56" s="1212"/>
      <c r="W56" s="1204"/>
      <c r="X56" s="1212"/>
      <c r="Y56" s="1204"/>
      <c r="Z56" s="1212"/>
      <c r="AA56" s="1219"/>
    </row>
    <row r="57" spans="2:27" s="617" customFormat="1" ht="24" customHeight="1">
      <c r="B57" s="1232"/>
      <c r="C57" s="1190"/>
      <c r="D57" s="1190"/>
      <c r="E57" s="1233"/>
      <c r="F57" s="1227"/>
      <c r="G57" s="1191"/>
      <c r="H57" s="1190"/>
      <c r="I57" s="1192"/>
      <c r="J57" s="1191"/>
      <c r="K57" s="1193"/>
      <c r="L57" s="1194"/>
      <c r="M57" s="1228"/>
      <c r="N57" s="1190"/>
      <c r="O57" s="1229"/>
      <c r="P57" s="1197"/>
      <c r="Q57" s="1191"/>
      <c r="R57" s="1197"/>
      <c r="S57" s="1191"/>
      <c r="T57" s="1190"/>
      <c r="U57" s="1191"/>
      <c r="V57" s="1198"/>
      <c r="W57" s="1191"/>
      <c r="X57" s="1198"/>
      <c r="Y57" s="1191"/>
      <c r="Z57" s="1198"/>
      <c r="AA57" s="1230"/>
    </row>
    <row r="58" spans="2:27" s="617" customFormat="1" ht="24" customHeight="1">
      <c r="B58" s="1234"/>
      <c r="C58" s="1210"/>
      <c r="D58" s="1202"/>
      <c r="E58" s="1187"/>
      <c r="F58" s="1226"/>
      <c r="G58" s="1204"/>
      <c r="H58" s="1205"/>
      <c r="I58" s="1206"/>
      <c r="J58" s="1204"/>
      <c r="K58" s="1207"/>
      <c r="L58" s="1188"/>
      <c r="M58" s="1208"/>
      <c r="N58" s="1205"/>
      <c r="O58" s="1044"/>
      <c r="P58" s="1210"/>
      <c r="Q58" s="1204"/>
      <c r="R58" s="1210"/>
      <c r="S58" s="1204"/>
      <c r="T58" s="1205"/>
      <c r="U58" s="1204"/>
      <c r="V58" s="1212"/>
      <c r="W58" s="1204"/>
      <c r="X58" s="1212"/>
      <c r="Y58" s="1204"/>
      <c r="Z58" s="1212"/>
      <c r="AA58" s="1219"/>
    </row>
    <row r="59" spans="2:27" s="617" customFormat="1" ht="24" customHeight="1">
      <c r="B59" s="1224"/>
      <c r="C59" s="1171"/>
      <c r="D59" s="1171"/>
      <c r="E59" s="785"/>
      <c r="F59" s="1172"/>
      <c r="G59" s="767"/>
      <c r="H59" s="1171"/>
      <c r="I59" s="767"/>
      <c r="J59" s="1172"/>
      <c r="K59" s="1180"/>
      <c r="L59" s="1181"/>
      <c r="M59" s="1481">
        <v>30</v>
      </c>
      <c r="N59" s="1171"/>
      <c r="O59" s="1235"/>
      <c r="P59" s="1236"/>
      <c r="Q59" s="1172"/>
      <c r="R59" s="785"/>
      <c r="S59" s="1172"/>
      <c r="T59" s="1171"/>
      <c r="U59" s="1172"/>
      <c r="V59" s="1176"/>
      <c r="W59" s="1175"/>
      <c r="X59" s="1176"/>
      <c r="Y59" s="1172"/>
      <c r="Z59" s="1183"/>
      <c r="AA59" s="1177"/>
    </row>
    <row r="60" spans="2:27" s="617" customFormat="1" ht="24" customHeight="1">
      <c r="B60" s="1234" t="s">
        <v>285</v>
      </c>
      <c r="C60" s="1210">
        <f>SUM(C9:C59)</f>
        <v>1631</v>
      </c>
      <c r="D60" s="1202"/>
      <c r="E60" s="1205">
        <f>SUM(E9:E44)</f>
        <v>1631</v>
      </c>
      <c r="F60" s="1204"/>
      <c r="G60" s="1206"/>
      <c r="H60" s="1205"/>
      <c r="I60" s="1206"/>
      <c r="J60" s="1204"/>
      <c r="K60" s="1237">
        <f>SUM(K9:K44)</f>
        <v>614</v>
      </c>
      <c r="L60" s="862">
        <f>SUM(L9:L44)</f>
        <v>1842</v>
      </c>
      <c r="M60" s="1482">
        <v>10</v>
      </c>
      <c r="N60" s="1205"/>
      <c r="O60" s="1238">
        <f>SUM(O9:O44)</f>
        <v>1007</v>
      </c>
      <c r="P60" s="1239"/>
      <c r="Q60" s="1240"/>
      <c r="R60" s="1210"/>
      <c r="S60" s="1204"/>
      <c r="T60" s="1205"/>
      <c r="U60" s="1204"/>
      <c r="V60" s="1212"/>
      <c r="W60" s="1211"/>
      <c r="X60" s="1212"/>
      <c r="Y60" s="1204"/>
      <c r="Z60" s="1218"/>
      <c r="AA60" s="1219"/>
    </row>
    <row r="61" spans="2:27" s="617" customFormat="1" ht="24" customHeight="1">
      <c r="B61" s="1224"/>
      <c r="C61" s="1171"/>
      <c r="D61" s="1171"/>
      <c r="E61" s="1171"/>
      <c r="F61" s="1172"/>
      <c r="G61" s="1172"/>
      <c r="H61" s="1171"/>
      <c r="I61" s="767"/>
      <c r="J61" s="1172"/>
      <c r="K61" s="1180"/>
      <c r="L61" s="1181"/>
      <c r="M61" s="1228"/>
      <c r="N61" s="1171"/>
      <c r="O61" s="968"/>
      <c r="P61" s="785"/>
      <c r="Q61" s="1172"/>
      <c r="R61" s="785"/>
      <c r="S61" s="1172"/>
      <c r="T61" s="1171"/>
      <c r="U61" s="1172"/>
      <c r="V61" s="1176"/>
      <c r="W61" s="1175"/>
      <c r="X61" s="1176"/>
      <c r="Y61" s="1172"/>
      <c r="Z61" s="1183"/>
      <c r="AA61" s="1177"/>
    </row>
    <row r="62" spans="2:27" s="617" customFormat="1" ht="24" customHeight="1">
      <c r="B62" s="1241"/>
      <c r="C62" s="1185"/>
      <c r="D62" s="1202"/>
      <c r="E62" s="1205"/>
      <c r="F62" s="1204"/>
      <c r="G62" s="1204"/>
      <c r="H62" s="1205"/>
      <c r="I62" s="1221"/>
      <c r="J62" s="1226"/>
      <c r="K62" s="1207"/>
      <c r="L62" s="1188"/>
      <c r="M62" s="1208"/>
      <c r="N62" s="1205"/>
      <c r="O62" s="1209"/>
      <c r="P62" s="1210"/>
      <c r="Q62" s="1204"/>
      <c r="R62" s="1210"/>
      <c r="S62" s="1204"/>
      <c r="T62" s="1205"/>
      <c r="U62" s="1204"/>
      <c r="V62" s="1212"/>
      <c r="W62" s="1211"/>
      <c r="X62" s="1212"/>
      <c r="Y62" s="1204"/>
      <c r="Z62" s="1218"/>
      <c r="AA62" s="1219"/>
    </row>
    <row r="63" spans="2:27" s="617" customFormat="1" ht="24" customHeight="1">
      <c r="B63" s="1224"/>
      <c r="C63" s="1171"/>
      <c r="D63" s="1171"/>
      <c r="E63" s="1190"/>
      <c r="F63" s="1242"/>
      <c r="G63" s="1172"/>
      <c r="H63" s="1171"/>
      <c r="I63" s="767"/>
      <c r="J63" s="1172"/>
      <c r="K63" s="1180"/>
      <c r="L63" s="1301">
        <f>L60</f>
        <v>1842</v>
      </c>
      <c r="M63" s="1481">
        <v>30</v>
      </c>
      <c r="N63" s="1171"/>
      <c r="O63" s="1214" t="s">
        <v>578</v>
      </c>
      <c r="P63" s="785"/>
      <c r="Q63" s="1172"/>
      <c r="R63" s="785"/>
      <c r="S63" s="1172"/>
      <c r="T63" s="1171"/>
      <c r="U63" s="1172"/>
      <c r="V63" s="1176"/>
      <c r="W63" s="1175"/>
      <c r="X63" s="1176"/>
      <c r="Y63" s="1172"/>
      <c r="Z63" s="1243"/>
      <c r="AA63" s="1177"/>
    </row>
    <row r="64" spans="2:27" s="617" customFormat="1" ht="24" customHeight="1">
      <c r="B64" s="1234" t="s">
        <v>284</v>
      </c>
      <c r="C64" s="1244"/>
      <c r="D64" s="1202">
        <v>4</v>
      </c>
      <c r="E64" s="1205">
        <f>SUMIF(D9:D56,D64,E9:E56)</f>
        <v>1631</v>
      </c>
      <c r="F64" s="1203"/>
      <c r="G64" s="1204"/>
      <c r="H64" s="1205"/>
      <c r="I64" s="1206"/>
      <c r="J64" s="1204"/>
      <c r="K64" s="1202">
        <v>3</v>
      </c>
      <c r="L64" s="1302">
        <f>SUM(K9:K44)</f>
        <v>614</v>
      </c>
      <c r="M64" s="1482">
        <v>10</v>
      </c>
      <c r="N64" s="1205"/>
      <c r="O64" s="1245">
        <f>SUM(O60)</f>
        <v>1007</v>
      </c>
      <c r="P64" s="1210"/>
      <c r="Q64" s="1204"/>
      <c r="R64" s="1210"/>
      <c r="S64" s="1204"/>
      <c r="T64" s="1205"/>
      <c r="U64" s="1204"/>
      <c r="V64" s="1212"/>
      <c r="W64" s="1246"/>
      <c r="X64" s="1212"/>
      <c r="Y64" s="1204"/>
      <c r="Z64" s="1247"/>
      <c r="AA64" s="1219"/>
    </row>
    <row r="65" spans="2:27" s="617" customFormat="1" ht="24" customHeight="1">
      <c r="B65" s="1224"/>
      <c r="C65" s="1171"/>
      <c r="D65" s="1171"/>
      <c r="E65" s="1190"/>
      <c r="F65" s="1242"/>
      <c r="G65" s="1172"/>
      <c r="H65" s="1171"/>
      <c r="I65" s="767"/>
      <c r="J65" s="1172"/>
      <c r="K65" s="1180" t="s">
        <v>748</v>
      </c>
      <c r="L65" s="1248"/>
      <c r="M65" s="1223"/>
      <c r="N65" s="1171"/>
      <c r="O65" s="1214" t="s">
        <v>698</v>
      </c>
      <c r="P65" s="785"/>
      <c r="Q65" s="1172"/>
      <c r="R65" s="785"/>
      <c r="S65" s="1172"/>
      <c r="T65" s="1171"/>
      <c r="U65" s="1172"/>
      <c r="V65" s="1176"/>
      <c r="W65" s="1175"/>
      <c r="X65" s="1176"/>
      <c r="Y65" s="1172"/>
      <c r="Z65" s="1249"/>
      <c r="AA65" s="1250"/>
    </row>
    <row r="66" spans="2:27" s="617" customFormat="1" ht="24" customHeight="1">
      <c r="B66" s="1234"/>
      <c r="C66" s="1210"/>
      <c r="D66" s="1202"/>
      <c r="E66" s="1205"/>
      <c r="F66" s="1203"/>
      <c r="G66" s="1204"/>
      <c r="H66" s="1205"/>
      <c r="I66" s="1206"/>
      <c r="J66" s="1204"/>
      <c r="K66" s="1202" t="s">
        <v>749</v>
      </c>
      <c r="L66" s="1483">
        <f>L63+M63</f>
        <v>1872</v>
      </c>
      <c r="M66" s="1208"/>
      <c r="N66" s="1205"/>
      <c r="O66" s="1367">
        <f>3*O64</f>
        <v>3021</v>
      </c>
      <c r="P66" s="1210"/>
      <c r="Q66" s="1204"/>
      <c r="R66" s="1210"/>
      <c r="S66" s="1204"/>
      <c r="T66" s="1205"/>
      <c r="U66" s="1204"/>
      <c r="V66" s="1212"/>
      <c r="W66" s="1246"/>
      <c r="X66" s="1212"/>
      <c r="Y66" s="1204"/>
      <c r="Z66" s="650"/>
      <c r="AA66" s="651"/>
    </row>
    <row r="67" spans="2:27" s="617" customFormat="1" ht="24" customHeight="1">
      <c r="B67" s="1224"/>
      <c r="C67" s="1171"/>
      <c r="D67" s="1171"/>
      <c r="E67" s="1190"/>
      <c r="F67" s="1242"/>
      <c r="G67" s="1172"/>
      <c r="H67" s="1171"/>
      <c r="I67" s="767"/>
      <c r="J67" s="1172"/>
      <c r="K67" s="1180"/>
      <c r="L67" s="1248"/>
      <c r="M67" s="1223"/>
      <c r="N67" s="1171"/>
      <c r="O67" s="1214"/>
      <c r="P67" s="785"/>
      <c r="Q67" s="1172"/>
      <c r="R67" s="785"/>
      <c r="S67" s="1172"/>
      <c r="T67" s="1171"/>
      <c r="U67" s="1172"/>
      <c r="V67" s="1176"/>
      <c r="W67" s="1175"/>
      <c r="X67" s="1176"/>
      <c r="Y67" s="1172"/>
      <c r="Z67" s="1249"/>
      <c r="AA67" s="1250"/>
    </row>
    <row r="68" spans="2:27" s="617" customFormat="1" ht="24" customHeight="1">
      <c r="B68" s="1234"/>
      <c r="C68" s="1210"/>
      <c r="D68" s="1202"/>
      <c r="E68" s="1205"/>
      <c r="F68" s="1203"/>
      <c r="G68" s="1204"/>
      <c r="H68" s="1205"/>
      <c r="I68" s="1206"/>
      <c r="J68" s="1204"/>
      <c r="K68" s="1202"/>
      <c r="L68" s="1483"/>
      <c r="M68" s="1208"/>
      <c r="N68" s="1205"/>
      <c r="O68" s="1245"/>
      <c r="P68" s="1210"/>
      <c r="Q68" s="1204"/>
      <c r="R68" s="1210"/>
      <c r="S68" s="1204"/>
      <c r="T68" s="1205"/>
      <c r="U68" s="1204"/>
      <c r="V68" s="1212"/>
      <c r="W68" s="1246"/>
      <c r="X68" s="1212"/>
      <c r="Y68" s="1204"/>
      <c r="Z68" s="650"/>
      <c r="AA68" s="651"/>
    </row>
    <row r="69" spans="2:27" s="617" customFormat="1" ht="24" customHeight="1">
      <c r="B69" s="1224"/>
      <c r="C69" s="1171"/>
      <c r="D69" s="1171"/>
      <c r="E69" s="1190"/>
      <c r="F69" s="1242"/>
      <c r="G69" s="1172"/>
      <c r="H69" s="1171"/>
      <c r="I69" s="767"/>
      <c r="J69" s="1172"/>
      <c r="K69" s="1180"/>
      <c r="L69" s="1248"/>
      <c r="M69" s="1223"/>
      <c r="N69" s="1171"/>
      <c r="O69" s="968"/>
      <c r="P69" s="785"/>
      <c r="Q69" s="1172"/>
      <c r="R69" s="785"/>
      <c r="S69" s="1172"/>
      <c r="T69" s="1171"/>
      <c r="U69" s="1172"/>
      <c r="V69" s="1176"/>
      <c r="W69" s="1175"/>
      <c r="X69" s="1176"/>
      <c r="Y69" s="1172"/>
      <c r="Z69" s="1249"/>
      <c r="AA69" s="1250"/>
    </row>
    <row r="70" spans="2:27" s="617" customFormat="1" ht="24" customHeight="1">
      <c r="B70" s="1234"/>
      <c r="C70" s="1210"/>
      <c r="D70" s="1202"/>
      <c r="E70" s="1205"/>
      <c r="F70" s="1203"/>
      <c r="G70" s="1204"/>
      <c r="H70" s="1205"/>
      <c r="I70" s="1206"/>
      <c r="J70" s="1204"/>
      <c r="K70" s="1202"/>
      <c r="L70" s="1188"/>
      <c r="M70" s="1208"/>
      <c r="N70" s="1205"/>
      <c r="O70" s="1209"/>
      <c r="P70" s="1210"/>
      <c r="Q70" s="1204"/>
      <c r="R70" s="1210"/>
      <c r="S70" s="1204"/>
      <c r="T70" s="1205"/>
      <c r="U70" s="1204"/>
      <c r="V70" s="1212"/>
      <c r="W70" s="1246"/>
      <c r="X70" s="1212"/>
      <c r="Y70" s="1204"/>
      <c r="Z70" s="650"/>
      <c r="AA70" s="651"/>
    </row>
    <row r="71" spans="2:27" s="617" customFormat="1" ht="24" customHeight="1">
      <c r="B71" s="1224"/>
      <c r="C71" s="1065"/>
      <c r="D71" s="1065"/>
      <c r="E71" s="1065"/>
      <c r="F71" s="1251"/>
      <c r="G71" s="1251"/>
      <c r="H71" s="1065"/>
      <c r="I71" s="1251"/>
      <c r="J71" s="1251"/>
      <c r="K71" s="1064"/>
      <c r="L71" s="1252"/>
      <c r="M71" s="1251"/>
      <c r="N71" s="1065"/>
      <c r="O71" s="1251"/>
      <c r="P71" s="1065"/>
      <c r="Q71" s="1251"/>
      <c r="R71" s="1065"/>
      <c r="S71" s="1251"/>
      <c r="T71" s="1065"/>
      <c r="U71" s="1251"/>
      <c r="V71" s="1065"/>
      <c r="W71" s="1251"/>
      <c r="X71" s="1065"/>
      <c r="Y71" s="1251"/>
      <c r="Z71" s="1065"/>
      <c r="AA71" s="1253"/>
    </row>
    <row r="72" spans="2:27" s="617" customFormat="1" ht="24" customHeight="1">
      <c r="B72" s="1234"/>
      <c r="C72" s="1254"/>
      <c r="D72" s="1255"/>
      <c r="E72" s="1254"/>
      <c r="F72" s="1000"/>
      <c r="G72" s="1000"/>
      <c r="H72" s="1255"/>
      <c r="I72" s="1256"/>
      <c r="J72" s="1256"/>
      <c r="K72" s="1254"/>
      <c r="L72" s="1257"/>
      <c r="M72" s="1256"/>
      <c r="N72" s="1255"/>
      <c r="O72" s="1000"/>
      <c r="P72" s="1255"/>
      <c r="Q72" s="1000"/>
      <c r="R72" s="1255"/>
      <c r="S72" s="1000"/>
      <c r="T72" s="1255"/>
      <c r="U72" s="1000"/>
      <c r="V72" s="1255"/>
      <c r="W72" s="1000"/>
      <c r="X72" s="1255"/>
      <c r="Y72" s="1000"/>
      <c r="Z72" s="1255"/>
      <c r="AA72" s="1258"/>
    </row>
    <row r="73" spans="2:27" s="617" customFormat="1" ht="24" customHeight="1">
      <c r="B73" s="645"/>
      <c r="C73" s="652"/>
      <c r="D73" s="652"/>
      <c r="E73" s="652"/>
      <c r="F73" s="653"/>
      <c r="G73" s="653"/>
      <c r="H73" s="652"/>
      <c r="I73" s="653"/>
      <c r="J73" s="653"/>
      <c r="K73" s="581"/>
      <c r="L73" s="654"/>
      <c r="M73" s="653"/>
      <c r="N73" s="652"/>
      <c r="O73" s="653"/>
      <c r="P73" s="652"/>
      <c r="Q73" s="653"/>
      <c r="R73" s="652"/>
      <c r="S73" s="653"/>
      <c r="T73" s="652"/>
      <c r="U73" s="653"/>
      <c r="V73" s="652"/>
      <c r="W73" s="653"/>
      <c r="X73" s="652"/>
      <c r="Y73" s="653"/>
      <c r="Z73" s="652"/>
      <c r="AA73" s="655"/>
    </row>
    <row r="74" spans="2:27" s="617" customFormat="1" ht="24" customHeight="1">
      <c r="B74" s="646"/>
      <c r="C74" s="652"/>
      <c r="D74" s="652"/>
      <c r="E74" s="652"/>
      <c r="F74" s="653"/>
      <c r="G74" s="653"/>
      <c r="H74" s="652"/>
      <c r="I74" s="653"/>
      <c r="J74" s="653"/>
      <c r="K74" s="581"/>
      <c r="L74" s="654"/>
      <c r="M74" s="653"/>
      <c r="N74" s="652"/>
      <c r="O74" s="653"/>
      <c r="P74" s="652"/>
      <c r="Q74" s="653"/>
      <c r="R74" s="652"/>
      <c r="S74" s="653"/>
      <c r="T74" s="652"/>
      <c r="U74" s="653"/>
      <c r="V74" s="652"/>
      <c r="W74" s="653"/>
      <c r="X74" s="652"/>
      <c r="Y74" s="653"/>
      <c r="Z74" s="652"/>
      <c r="AA74" s="655"/>
    </row>
    <row r="75" spans="2:27" s="617" customFormat="1" ht="24" customHeight="1" thickBot="1">
      <c r="B75" s="656"/>
      <c r="C75" s="657" t="s">
        <v>254</v>
      </c>
      <c r="D75" s="657" t="s">
        <v>254</v>
      </c>
      <c r="E75" s="657" t="s">
        <v>254</v>
      </c>
      <c r="F75" s="658" t="s">
        <v>254</v>
      </c>
      <c r="G75" s="658" t="s">
        <v>254</v>
      </c>
      <c r="H75" s="657" t="s">
        <v>336</v>
      </c>
      <c r="I75" s="659"/>
      <c r="J75" s="658" t="s">
        <v>254</v>
      </c>
      <c r="K75" s="657" t="s">
        <v>337</v>
      </c>
      <c r="L75" s="660"/>
      <c r="M75" s="658" t="s">
        <v>337</v>
      </c>
      <c r="N75" s="657" t="s">
        <v>254</v>
      </c>
      <c r="O75" s="658" t="s">
        <v>254</v>
      </c>
      <c r="P75" s="661"/>
      <c r="Q75" s="658" t="s">
        <v>254</v>
      </c>
      <c r="R75" s="661"/>
      <c r="S75" s="658" t="s">
        <v>254</v>
      </c>
      <c r="T75" s="657" t="s">
        <v>254</v>
      </c>
      <c r="U75" s="658" t="s">
        <v>254</v>
      </c>
      <c r="V75" s="661"/>
      <c r="W75" s="658" t="s">
        <v>254</v>
      </c>
      <c r="X75" s="661"/>
      <c r="Y75" s="658" t="s">
        <v>338</v>
      </c>
      <c r="Z75" s="661"/>
      <c r="AA75" s="662" t="s">
        <v>338</v>
      </c>
    </row>
    <row r="76" spans="2:27" s="605" customFormat="1" ht="24" customHeight="1" thickTop="1">
      <c r="B76" s="618" t="s">
        <v>255</v>
      </c>
      <c r="C76" s="619"/>
      <c r="D76" s="620" t="s">
        <v>253</v>
      </c>
      <c r="E76" s="627"/>
      <c r="F76" s="628"/>
      <c r="G76" s="628"/>
      <c r="H76" s="627"/>
      <c r="I76" s="628"/>
      <c r="J76" s="629" t="s">
        <v>381</v>
      </c>
      <c r="K76" s="1491" t="s">
        <v>247</v>
      </c>
      <c r="L76" s="1492"/>
      <c r="M76" s="629" t="s">
        <v>365</v>
      </c>
      <c r="N76" s="627"/>
      <c r="O76" s="628"/>
      <c r="P76" s="627"/>
      <c r="Q76" s="628"/>
      <c r="R76" s="627"/>
      <c r="S76" s="628"/>
      <c r="T76" s="627"/>
      <c r="U76" s="628"/>
      <c r="V76" s="627"/>
      <c r="W76" s="628"/>
      <c r="X76" s="627"/>
      <c r="Y76" s="628"/>
      <c r="Z76" s="627"/>
      <c r="AA76" s="663"/>
    </row>
    <row r="77" spans="2:27" s="605" customFormat="1" ht="24" customHeight="1">
      <c r="B77" s="618" t="s">
        <v>382</v>
      </c>
      <c r="C77" s="626" t="s">
        <v>383</v>
      </c>
      <c r="D77" s="627" t="s">
        <v>80</v>
      </c>
      <c r="E77" s="649" t="s">
        <v>36</v>
      </c>
      <c r="F77" s="648" t="s">
        <v>81</v>
      </c>
      <c r="G77" s="648" t="s">
        <v>82</v>
      </c>
      <c r="H77" s="647" t="s">
        <v>367</v>
      </c>
      <c r="I77" s="664" t="s">
        <v>368</v>
      </c>
      <c r="J77" s="664" t="s">
        <v>369</v>
      </c>
      <c r="K77" s="647"/>
      <c r="L77" s="665"/>
      <c r="M77" s="664" t="s">
        <v>370</v>
      </c>
      <c r="N77" s="649" t="s">
        <v>83</v>
      </c>
      <c r="O77" s="648" t="s">
        <v>75</v>
      </c>
      <c r="P77" s="647" t="s">
        <v>248</v>
      </c>
      <c r="Q77" s="664" t="s">
        <v>371</v>
      </c>
      <c r="R77" s="647" t="s">
        <v>372</v>
      </c>
      <c r="S77" s="664" t="s">
        <v>371</v>
      </c>
      <c r="T77" s="649" t="s">
        <v>84</v>
      </c>
      <c r="U77" s="664" t="s">
        <v>371</v>
      </c>
      <c r="V77" s="647" t="s">
        <v>372</v>
      </c>
      <c r="W77" s="664" t="s">
        <v>371</v>
      </c>
      <c r="X77" s="647" t="s">
        <v>372</v>
      </c>
      <c r="Y77" s="664" t="s">
        <v>373</v>
      </c>
      <c r="Z77" s="647" t="s">
        <v>372</v>
      </c>
      <c r="AA77" s="666" t="s">
        <v>373</v>
      </c>
    </row>
    <row r="78" spans="2:27" s="605" customFormat="1" ht="24" customHeight="1" thickBot="1">
      <c r="B78" s="667" t="s">
        <v>384</v>
      </c>
      <c r="C78" s="668"/>
      <c r="D78" s="668"/>
      <c r="E78" s="669" t="s">
        <v>243</v>
      </c>
      <c r="F78" s="670"/>
      <c r="G78" s="670"/>
      <c r="H78" s="669" t="s">
        <v>244</v>
      </c>
      <c r="I78" s="670"/>
      <c r="J78" s="670"/>
      <c r="K78" s="671" t="s">
        <v>354</v>
      </c>
      <c r="L78" s="670"/>
      <c r="M78" s="670"/>
      <c r="N78" s="671" t="s">
        <v>355</v>
      </c>
      <c r="O78" s="670"/>
      <c r="P78" s="671" t="s">
        <v>385</v>
      </c>
      <c r="Q78" s="670"/>
      <c r="R78" s="671" t="s">
        <v>386</v>
      </c>
      <c r="S78" s="670"/>
      <c r="T78" s="669" t="s">
        <v>387</v>
      </c>
      <c r="U78" s="670"/>
      <c r="V78" s="672" t="s">
        <v>245</v>
      </c>
      <c r="W78" s="670"/>
      <c r="X78" s="671" t="s">
        <v>359</v>
      </c>
      <c r="Y78" s="670"/>
      <c r="Z78" s="671" t="s">
        <v>251</v>
      </c>
      <c r="AA78" s="673"/>
    </row>
  </sheetData>
  <sheetProtection/>
  <mergeCells count="5">
    <mergeCell ref="C2:W2"/>
    <mergeCell ref="K6:L6"/>
    <mergeCell ref="K76:L76"/>
    <mergeCell ref="B47:C47"/>
    <mergeCell ref="B48:C48"/>
  </mergeCells>
  <printOptions verticalCentered="1"/>
  <pageMargins left="0.5905511811023623" right="0" top="0.5905511811023623" bottom="0.1968503937007874" header="0" footer="0"/>
  <pageSetup horizontalDpi="300" verticalDpi="3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theme="6" tint="0.39998000860214233"/>
  </sheetPr>
  <dimension ref="A1:AK90"/>
  <sheetViews>
    <sheetView view="pageBreakPreview" zoomScale="75" zoomScaleNormal="75" zoomScaleSheetLayoutView="75" zoomScalePageLayoutView="0" workbookViewId="0" topLeftCell="A1">
      <pane ySplit="8" topLeftCell="A9" activePane="bottomLeft" state="frozen"/>
      <selection pane="topLeft" activeCell="T34" sqref="T34"/>
      <selection pane="bottomLeft" activeCell="T34" sqref="T34"/>
    </sheetView>
  </sheetViews>
  <sheetFormatPr defaultColWidth="13.625" defaultRowHeight="13.5"/>
  <cols>
    <col min="1" max="1" width="7.625" style="403" customWidth="1"/>
    <col min="2" max="2" width="8.625" style="403" customWidth="1"/>
    <col min="3" max="3" width="10.125" style="518" customWidth="1"/>
    <col min="4" max="5" width="9.625" style="518" customWidth="1"/>
    <col min="6" max="6" width="10.125" style="518" customWidth="1"/>
    <col min="7" max="7" width="9.625" style="518" customWidth="1"/>
    <col min="8" max="8" width="8.00390625" style="403" customWidth="1"/>
    <col min="9" max="9" width="4.625" style="519" customWidth="1"/>
    <col min="10" max="10" width="7.625" style="520" customWidth="1"/>
    <col min="11" max="11" width="7.375" style="403" customWidth="1"/>
    <col min="12" max="12" width="4.625" style="519" customWidth="1"/>
    <col min="13" max="14" width="7.625" style="403" customWidth="1"/>
    <col min="15" max="15" width="4.50390625" style="519" customWidth="1"/>
    <col min="16" max="16" width="7.625" style="403" customWidth="1"/>
    <col min="17" max="17" width="9.375" style="403" customWidth="1"/>
    <col min="18" max="18" width="4.625" style="519" customWidth="1"/>
    <col min="19" max="19" width="7.625" style="403" customWidth="1"/>
    <col min="20" max="20" width="6.625" style="403" customWidth="1"/>
    <col min="21" max="21" width="4.625" style="519" customWidth="1"/>
    <col min="22" max="22" width="7.625" style="403" customWidth="1"/>
    <col min="23" max="23" width="9.375" style="403" customWidth="1"/>
    <col min="24" max="24" width="4.625" style="521" customWidth="1"/>
    <col min="25" max="25" width="7.625" style="403" customWidth="1"/>
    <col min="26" max="26" width="9.125" style="403" customWidth="1"/>
    <col min="27" max="27" width="4.625" style="521" customWidth="1"/>
    <col min="28" max="28" width="8.625" style="403" customWidth="1"/>
    <col min="29" max="29" width="15.625" style="403" customWidth="1"/>
    <col min="30" max="30" width="8.625" style="403" customWidth="1"/>
    <col min="31" max="31" width="7.625" style="403" customWidth="1"/>
    <col min="32" max="33" width="13.625" style="403" customWidth="1"/>
    <col min="34" max="35" width="7.625" style="403" customWidth="1"/>
    <col min="36" max="16384" width="13.625" style="403" customWidth="1"/>
  </cols>
  <sheetData>
    <row r="1" spans="1:30" ht="13.5">
      <c r="A1" s="1"/>
      <c r="B1" s="1"/>
      <c r="C1" s="6"/>
      <c r="D1" s="6"/>
      <c r="E1" s="6"/>
      <c r="F1" s="6"/>
      <c r="G1" s="6"/>
      <c r="H1" s="1"/>
      <c r="I1" s="7"/>
      <c r="J1" s="8"/>
      <c r="K1" s="1"/>
      <c r="L1" s="7"/>
      <c r="M1" s="1"/>
      <c r="N1" s="1"/>
      <c r="O1" s="7"/>
      <c r="P1" s="1"/>
      <c r="Q1" s="1"/>
      <c r="R1" s="7"/>
      <c r="S1" s="1"/>
      <c r="T1" s="1"/>
      <c r="U1" s="7"/>
      <c r="V1" s="1"/>
      <c r="W1" s="1"/>
      <c r="X1" s="9"/>
      <c r="Y1" s="1"/>
      <c r="Z1" s="1"/>
      <c r="AA1" s="9"/>
      <c r="AB1" s="1"/>
      <c r="AD1" s="1"/>
    </row>
    <row r="2" spans="1:30" s="3" customFormat="1" ht="45" customHeight="1">
      <c r="A2" s="4"/>
      <c r="B2" s="4"/>
      <c r="C2" s="1507" t="s">
        <v>288</v>
      </c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1507"/>
      <c r="Y2" s="1507"/>
      <c r="Z2" s="1507"/>
      <c r="AA2" s="1507"/>
      <c r="AB2" s="1507"/>
      <c r="AD2" s="4"/>
    </row>
    <row r="3" spans="1:30" ht="23.25" customHeight="1">
      <c r="A3" s="1"/>
      <c r="B3" s="5" t="s">
        <v>3</v>
      </c>
      <c r="C3" s="6"/>
      <c r="D3" s="6"/>
      <c r="E3" s="6"/>
      <c r="F3" s="6"/>
      <c r="H3" s="1"/>
      <c r="I3" s="7"/>
      <c r="J3" s="8"/>
      <c r="K3" s="1"/>
      <c r="L3" s="7"/>
      <c r="M3" s="1"/>
      <c r="N3" s="1"/>
      <c r="O3" s="7"/>
      <c r="P3" s="1"/>
      <c r="Q3" s="1"/>
      <c r="R3" s="7"/>
      <c r="S3" s="1"/>
      <c r="T3" s="1"/>
      <c r="U3" s="7"/>
      <c r="V3" s="1"/>
      <c r="W3" s="1"/>
      <c r="X3" s="9"/>
      <c r="Y3" s="1"/>
      <c r="Z3" s="1"/>
      <c r="AA3" s="9"/>
      <c r="AB3" s="1"/>
      <c r="AD3" s="1"/>
    </row>
    <row r="4" spans="1:30" s="409" customFormat="1" ht="24" customHeight="1" thickBot="1">
      <c r="A4" s="10"/>
      <c r="B4" s="173"/>
      <c r="C4" s="401" t="s">
        <v>574</v>
      </c>
      <c r="D4" s="610" t="str">
        <f>'表紙１'!C2</f>
        <v>5</v>
      </c>
      <c r="E4" s="401" t="s">
        <v>289</v>
      </c>
      <c r="F4" s="405"/>
      <c r="G4" s="406" t="str">
        <f>'表紙１'!G5</f>
        <v>多比良</v>
      </c>
      <c r="H4" s="1508" t="s">
        <v>290</v>
      </c>
      <c r="I4" s="1508"/>
      <c r="J4" s="405" t="s">
        <v>291</v>
      </c>
      <c r="K4" s="404" t="str">
        <f>'表紙１'!D7</f>
        <v>1</v>
      </c>
      <c r="L4" s="1509" t="s">
        <v>292</v>
      </c>
      <c r="M4" s="1509"/>
      <c r="N4" s="404" t="str">
        <f>'表紙１'!F7</f>
        <v>－</v>
      </c>
      <c r="O4" s="1509" t="s">
        <v>293</v>
      </c>
      <c r="P4" s="1509"/>
      <c r="Q4" s="173"/>
      <c r="R4" s="407"/>
      <c r="S4" s="1314" t="s">
        <v>594</v>
      </c>
      <c r="T4" s="173"/>
      <c r="U4" s="407"/>
      <c r="V4" s="173"/>
      <c r="W4" s="173"/>
      <c r="X4" s="174"/>
      <c r="Y4" s="173"/>
      <c r="Z4" s="173"/>
      <c r="AA4" s="174"/>
      <c r="AB4" s="173"/>
      <c r="AC4" s="408"/>
      <c r="AD4" s="10"/>
    </row>
    <row r="5" spans="1:30" s="409" customFormat="1" ht="24" customHeight="1">
      <c r="A5" s="10"/>
      <c r="B5" s="410" t="s">
        <v>294</v>
      </c>
      <c r="C5" s="190"/>
      <c r="D5" s="190" t="s">
        <v>295</v>
      </c>
      <c r="E5" s="1514" t="s">
        <v>296</v>
      </c>
      <c r="F5" s="1515"/>
      <c r="G5" s="1516"/>
      <c r="H5" s="1517" t="s">
        <v>297</v>
      </c>
      <c r="I5" s="1515"/>
      <c r="J5" s="1515"/>
      <c r="K5" s="1515"/>
      <c r="L5" s="1515"/>
      <c r="M5" s="1515"/>
      <c r="N5" s="1515"/>
      <c r="O5" s="1515"/>
      <c r="P5" s="1515"/>
      <c r="Q5" s="1515"/>
      <c r="R5" s="1515"/>
      <c r="S5" s="1516"/>
      <c r="T5" s="1517" t="s">
        <v>298</v>
      </c>
      <c r="U5" s="1515"/>
      <c r="V5" s="1515"/>
      <c r="W5" s="1515"/>
      <c r="X5" s="1515"/>
      <c r="Y5" s="1515"/>
      <c r="Z5" s="1515"/>
      <c r="AA5" s="1515"/>
      <c r="AB5" s="1518"/>
      <c r="AC5" s="175"/>
      <c r="AD5" s="11"/>
    </row>
    <row r="6" spans="1:30" s="409" customFormat="1" ht="24" customHeight="1">
      <c r="A6" s="10"/>
      <c r="B6" s="410" t="s">
        <v>299</v>
      </c>
      <c r="C6" s="411" t="s">
        <v>300</v>
      </c>
      <c r="D6" s="411" t="s">
        <v>301</v>
      </c>
      <c r="E6" s="1504" t="s">
        <v>325</v>
      </c>
      <c r="F6" s="1505"/>
      <c r="G6" s="1506"/>
      <c r="H6" s="176" t="s">
        <v>302</v>
      </c>
      <c r="I6" s="177"/>
      <c r="J6" s="178"/>
      <c r="K6" s="179" t="s">
        <v>303</v>
      </c>
      <c r="L6" s="177"/>
      <c r="M6" s="178"/>
      <c r="N6" s="180" t="s">
        <v>304</v>
      </c>
      <c r="O6" s="177"/>
      <c r="P6" s="178"/>
      <c r="Q6" s="180" t="s">
        <v>305</v>
      </c>
      <c r="R6" s="177"/>
      <c r="S6" s="178"/>
      <c r="T6" s="1510" t="s">
        <v>306</v>
      </c>
      <c r="U6" s="1511"/>
      <c r="V6" s="1511"/>
      <c r="W6" s="1511"/>
      <c r="X6" s="1511"/>
      <c r="Y6" s="1512"/>
      <c r="Z6" s="1504" t="s">
        <v>307</v>
      </c>
      <c r="AA6" s="1505"/>
      <c r="AB6" s="1513"/>
      <c r="AC6" s="181" t="s">
        <v>308</v>
      </c>
      <c r="AD6" s="11"/>
    </row>
    <row r="7" spans="1:36" s="409" customFormat="1" ht="24" customHeight="1" thickBot="1">
      <c r="A7" s="10"/>
      <c r="B7" s="412" t="s">
        <v>309</v>
      </c>
      <c r="C7" s="187"/>
      <c r="D7" s="182" t="s">
        <v>73</v>
      </c>
      <c r="E7" s="183" t="s">
        <v>310</v>
      </c>
      <c r="F7" s="184" t="s">
        <v>311</v>
      </c>
      <c r="G7" s="184" t="s">
        <v>312</v>
      </c>
      <c r="H7" s="185" t="s">
        <v>73</v>
      </c>
      <c r="I7" s="186" t="s">
        <v>74</v>
      </c>
      <c r="J7" s="184" t="s">
        <v>313</v>
      </c>
      <c r="K7" s="187" t="s">
        <v>73</v>
      </c>
      <c r="L7" s="203" t="s">
        <v>74</v>
      </c>
      <c r="M7" s="202" t="s">
        <v>313</v>
      </c>
      <c r="N7" s="187" t="s">
        <v>73</v>
      </c>
      <c r="O7" s="186" t="s">
        <v>74</v>
      </c>
      <c r="P7" s="184" t="s">
        <v>313</v>
      </c>
      <c r="Q7" s="187" t="s">
        <v>73</v>
      </c>
      <c r="R7" s="186" t="s">
        <v>74</v>
      </c>
      <c r="S7" s="184" t="s">
        <v>313</v>
      </c>
      <c r="T7" s="185" t="s">
        <v>73</v>
      </c>
      <c r="U7" s="186" t="s">
        <v>74</v>
      </c>
      <c r="V7" s="184" t="s">
        <v>313</v>
      </c>
      <c r="W7" s="187" t="s">
        <v>73</v>
      </c>
      <c r="X7" s="186" t="s">
        <v>74</v>
      </c>
      <c r="Y7" s="184" t="s">
        <v>313</v>
      </c>
      <c r="Z7" s="187" t="s">
        <v>73</v>
      </c>
      <c r="AA7" s="186" t="s">
        <v>74</v>
      </c>
      <c r="AB7" s="184" t="s">
        <v>314</v>
      </c>
      <c r="AC7" s="413"/>
      <c r="AD7" s="11" t="s">
        <v>520</v>
      </c>
      <c r="AF7" s="865" t="s">
        <v>523</v>
      </c>
      <c r="AG7" s="409" t="s">
        <v>524</v>
      </c>
      <c r="AH7" s="409" t="s">
        <v>521</v>
      </c>
      <c r="AI7" s="409" t="s">
        <v>522</v>
      </c>
      <c r="AJ7" s="865" t="s">
        <v>525</v>
      </c>
    </row>
    <row r="8" spans="1:30" s="554" customFormat="1" ht="24" customHeight="1" thickTop="1">
      <c r="A8" s="553"/>
      <c r="B8" s="1071"/>
      <c r="C8" s="1072" t="s">
        <v>328</v>
      </c>
      <c r="D8" s="1073"/>
      <c r="E8" s="1072" t="s">
        <v>328</v>
      </c>
      <c r="F8" s="1074" t="s">
        <v>328</v>
      </c>
      <c r="G8" s="1074" t="s">
        <v>328</v>
      </c>
      <c r="H8" s="1075" t="s">
        <v>329</v>
      </c>
      <c r="I8" s="1076"/>
      <c r="J8" s="1077" t="s">
        <v>328</v>
      </c>
      <c r="K8" s="1078" t="s">
        <v>330</v>
      </c>
      <c r="L8" s="1079" t="s">
        <v>330</v>
      </c>
      <c r="M8" s="1080" t="s">
        <v>328</v>
      </c>
      <c r="N8" s="1078" t="s">
        <v>330</v>
      </c>
      <c r="O8" s="1081"/>
      <c r="P8" s="1074" t="s">
        <v>328</v>
      </c>
      <c r="Q8" s="1082"/>
      <c r="R8" s="1081" t="s">
        <v>330</v>
      </c>
      <c r="S8" s="1074" t="s">
        <v>328</v>
      </c>
      <c r="T8" s="1083"/>
      <c r="U8" s="1081" t="s">
        <v>331</v>
      </c>
      <c r="V8" s="1074" t="s">
        <v>328</v>
      </c>
      <c r="W8" s="1084"/>
      <c r="X8" s="1081" t="s">
        <v>330</v>
      </c>
      <c r="Y8" s="1085" t="s">
        <v>76</v>
      </c>
      <c r="Z8" s="1084"/>
      <c r="AA8" s="1081"/>
      <c r="AB8" s="1085" t="s">
        <v>332</v>
      </c>
      <c r="AC8" s="1086"/>
      <c r="AD8" s="461"/>
    </row>
    <row r="9" spans="1:30" s="554" customFormat="1" ht="24" customHeight="1">
      <c r="A9" s="553"/>
      <c r="B9" s="1087"/>
      <c r="C9" s="1088"/>
      <c r="D9" s="864"/>
      <c r="E9" s="1089"/>
      <c r="F9" s="1090"/>
      <c r="G9" s="1090"/>
      <c r="H9" s="1091"/>
      <c r="I9" s="1092"/>
      <c r="J9" s="1093"/>
      <c r="K9" s="1094"/>
      <c r="L9" s="1092"/>
      <c r="M9" s="1093"/>
      <c r="N9" s="1095"/>
      <c r="O9" s="869"/>
      <c r="P9" s="1096"/>
      <c r="Q9" s="1095"/>
      <c r="R9" s="869"/>
      <c r="S9" s="1097"/>
      <c r="T9" s="1098"/>
      <c r="U9" s="869"/>
      <c r="V9" s="1096"/>
      <c r="W9" s="1084"/>
      <c r="X9" s="1099"/>
      <c r="Y9" s="1100"/>
      <c r="Z9" s="1084"/>
      <c r="AA9" s="1081"/>
      <c r="AB9" s="1100"/>
      <c r="AC9" s="1101"/>
      <c r="AD9" s="461"/>
    </row>
    <row r="10" spans="1:37" s="554" customFormat="1" ht="24" customHeight="1">
      <c r="A10" s="553"/>
      <c r="B10" s="1102"/>
      <c r="C10" s="1003"/>
      <c r="D10" s="864"/>
      <c r="E10" s="1089"/>
      <c r="F10" s="1090"/>
      <c r="G10" s="1090"/>
      <c r="H10" s="1103"/>
      <c r="I10" s="1092"/>
      <c r="J10" s="1093"/>
      <c r="K10" s="868"/>
      <c r="L10" s="1092"/>
      <c r="M10" s="1093"/>
      <c r="N10" s="868"/>
      <c r="O10" s="869"/>
      <c r="P10" s="1096"/>
      <c r="Q10" s="1095"/>
      <c r="R10" s="869"/>
      <c r="S10" s="1097"/>
      <c r="T10" s="1098"/>
      <c r="U10" s="869"/>
      <c r="V10" s="1085"/>
      <c r="W10" s="1084"/>
      <c r="X10" s="1099"/>
      <c r="Y10" s="1100"/>
      <c r="Z10" s="1104"/>
      <c r="AA10" s="1081"/>
      <c r="AB10" s="1105"/>
      <c r="AC10" s="1101"/>
      <c r="AD10" s="866">
        <v>0.0033333333333333335</v>
      </c>
      <c r="AF10" s="554">
        <f>C10</f>
        <v>0</v>
      </c>
      <c r="AG10" s="867">
        <f>AD10*AF10</f>
        <v>0</v>
      </c>
      <c r="AH10" s="554">
        <v>117.5</v>
      </c>
      <c r="AI10" s="554">
        <v>116.4</v>
      </c>
      <c r="AJ10" s="554">
        <f>AH10-AI10</f>
        <v>1.0999999999999943</v>
      </c>
      <c r="AK10" s="554">
        <f>AJ10-AG10</f>
        <v>1.0999999999999943</v>
      </c>
    </row>
    <row r="11" spans="1:30" s="554" customFormat="1" ht="24" customHeight="1">
      <c r="A11" s="553"/>
      <c r="B11" s="1106"/>
      <c r="C11" s="1107"/>
      <c r="D11" s="1108"/>
      <c r="E11" s="1109"/>
      <c r="F11" s="1110"/>
      <c r="G11" s="1110"/>
      <c r="H11" s="1111"/>
      <c r="I11" s="1112"/>
      <c r="J11" s="1306"/>
      <c r="K11" s="1114"/>
      <c r="L11" s="1112"/>
      <c r="M11" s="1113"/>
      <c r="N11" s="1115"/>
      <c r="O11" s="1116"/>
      <c r="P11" s="1117"/>
      <c r="Q11" s="1115"/>
      <c r="R11" s="1116"/>
      <c r="S11" s="1118"/>
      <c r="T11" s="1134"/>
      <c r="U11" s="1116"/>
      <c r="V11" s="1117"/>
      <c r="W11" s="1120"/>
      <c r="X11" s="1121"/>
      <c r="Y11" s="1122"/>
      <c r="Z11" s="1120"/>
      <c r="AA11" s="1123"/>
      <c r="AB11" s="1122"/>
      <c r="AC11" s="1124"/>
      <c r="AD11" s="461"/>
    </row>
    <row r="12" spans="1:37" s="554" customFormat="1" ht="24" customHeight="1">
      <c r="A12" s="553"/>
      <c r="B12" s="1125"/>
      <c r="C12" s="1025"/>
      <c r="D12" s="864"/>
      <c r="E12" s="1089"/>
      <c r="F12" s="1090"/>
      <c r="G12" s="1090"/>
      <c r="H12" s="1138"/>
      <c r="I12" s="870"/>
      <c r="J12" s="1307"/>
      <c r="K12" s="868"/>
      <c r="L12" s="1092"/>
      <c r="M12" s="1093"/>
      <c r="N12" s="868"/>
      <c r="O12" s="869"/>
      <c r="P12" s="1096"/>
      <c r="Q12" s="1095"/>
      <c r="R12" s="869"/>
      <c r="S12" s="1097"/>
      <c r="T12" s="871"/>
      <c r="U12" s="564"/>
      <c r="V12" s="1126"/>
      <c r="W12" s="1127"/>
      <c r="X12" s="1128"/>
      <c r="Y12" s="1129"/>
      <c r="Z12" s="1130"/>
      <c r="AA12" s="1131"/>
      <c r="AB12" s="1132"/>
      <c r="AC12" s="1133"/>
      <c r="AD12" s="866">
        <v>0.0033333333333333335</v>
      </c>
      <c r="AF12" s="554">
        <f>C12</f>
        <v>0</v>
      </c>
      <c r="AG12" s="867">
        <f>AD12*AF12</f>
        <v>0</v>
      </c>
      <c r="AH12" s="554">
        <v>116.4</v>
      </c>
      <c r="AI12" s="554">
        <v>111</v>
      </c>
      <c r="AJ12" s="554">
        <f>AH12-AI12</f>
        <v>5.400000000000006</v>
      </c>
      <c r="AK12" s="554">
        <f>AJ12-AG12</f>
        <v>5.400000000000006</v>
      </c>
    </row>
    <row r="13" spans="1:30" s="554" customFormat="1" ht="24" customHeight="1">
      <c r="A13" s="553"/>
      <c r="B13" s="1106"/>
      <c r="C13" s="1107"/>
      <c r="D13" s="1108"/>
      <c r="E13" s="1109"/>
      <c r="F13" s="1110"/>
      <c r="G13" s="1110"/>
      <c r="H13" s="1111"/>
      <c r="I13" s="1112"/>
      <c r="J13" s="1113"/>
      <c r="K13" s="1114"/>
      <c r="L13" s="1112"/>
      <c r="M13" s="1113"/>
      <c r="N13" s="1115"/>
      <c r="O13" s="1116"/>
      <c r="P13" s="1117"/>
      <c r="Q13" s="1115"/>
      <c r="R13" s="1116"/>
      <c r="S13" s="1118"/>
      <c r="T13" s="1119"/>
      <c r="U13" s="1116"/>
      <c r="V13" s="1117"/>
      <c r="W13" s="1120"/>
      <c r="X13" s="1121"/>
      <c r="Y13" s="1122"/>
      <c r="Z13" s="1120"/>
      <c r="AA13" s="1123"/>
      <c r="AB13" s="1122"/>
      <c r="AC13" s="1124"/>
      <c r="AD13" s="461"/>
    </row>
    <row r="14" spans="1:33" s="554" customFormat="1" ht="24" customHeight="1">
      <c r="A14" s="553"/>
      <c r="B14" s="1125"/>
      <c r="C14" s="1025"/>
      <c r="D14" s="864"/>
      <c r="E14" s="1089"/>
      <c r="F14" s="1090"/>
      <c r="G14" s="1090"/>
      <c r="H14" s="1103"/>
      <c r="I14" s="1092"/>
      <c r="J14" s="1093"/>
      <c r="K14" s="868"/>
      <c r="L14" s="1092"/>
      <c r="M14" s="1093"/>
      <c r="N14" s="868"/>
      <c r="O14" s="869"/>
      <c r="P14" s="1096"/>
      <c r="Q14" s="1095"/>
      <c r="R14" s="869"/>
      <c r="S14" s="1097"/>
      <c r="T14" s="871"/>
      <c r="U14" s="564"/>
      <c r="V14" s="1126"/>
      <c r="W14" s="1127"/>
      <c r="X14" s="1128"/>
      <c r="Y14" s="1129"/>
      <c r="Z14" s="1130"/>
      <c r="AA14" s="1131"/>
      <c r="AB14" s="1132"/>
      <c r="AC14" s="1133"/>
      <c r="AD14" s="866"/>
      <c r="AG14" s="867"/>
    </row>
    <row r="15" spans="1:30" s="554" customFormat="1" ht="24" customHeight="1">
      <c r="A15" s="553"/>
      <c r="B15" s="1106"/>
      <c r="C15" s="1107"/>
      <c r="D15" s="1108"/>
      <c r="E15" s="1109"/>
      <c r="F15" s="1110"/>
      <c r="G15" s="1110"/>
      <c r="H15" s="1111"/>
      <c r="I15" s="1112"/>
      <c r="J15" s="1113"/>
      <c r="K15" s="1114"/>
      <c r="L15" s="1112"/>
      <c r="M15" s="1113"/>
      <c r="N15" s="1115"/>
      <c r="O15" s="1116"/>
      <c r="P15" s="1117"/>
      <c r="Q15" s="1115"/>
      <c r="R15" s="1116"/>
      <c r="S15" s="1118"/>
      <c r="T15" s="1134"/>
      <c r="U15" s="1116"/>
      <c r="V15" s="1117"/>
      <c r="W15" s="1120"/>
      <c r="X15" s="1121"/>
      <c r="Y15" s="1122"/>
      <c r="Z15" s="1120"/>
      <c r="AA15" s="1123"/>
      <c r="AB15" s="1122"/>
      <c r="AC15" s="1124"/>
      <c r="AD15" s="461"/>
    </row>
    <row r="16" spans="1:33" s="554" customFormat="1" ht="24" customHeight="1">
      <c r="A16" s="553"/>
      <c r="B16" s="1125"/>
      <c r="C16" s="1025"/>
      <c r="D16" s="1135"/>
      <c r="E16" s="1136"/>
      <c r="F16" s="1137"/>
      <c r="G16" s="1137"/>
      <c r="H16" s="1138"/>
      <c r="I16" s="870"/>
      <c r="J16" s="1139"/>
      <c r="K16" s="1140"/>
      <c r="L16" s="870"/>
      <c r="M16" s="1139"/>
      <c r="N16" s="1140"/>
      <c r="O16" s="564"/>
      <c r="P16" s="1141"/>
      <c r="Q16" s="1142"/>
      <c r="R16" s="564"/>
      <c r="S16" s="1143"/>
      <c r="T16" s="871"/>
      <c r="U16" s="564"/>
      <c r="V16" s="1126"/>
      <c r="W16" s="1127"/>
      <c r="X16" s="1128"/>
      <c r="Y16" s="1129"/>
      <c r="Z16" s="1130"/>
      <c r="AA16" s="1131"/>
      <c r="AB16" s="1132"/>
      <c r="AC16" s="1133"/>
      <c r="AD16" s="866"/>
      <c r="AG16" s="867"/>
    </row>
    <row r="17" spans="1:30" s="554" customFormat="1" ht="24" customHeight="1">
      <c r="A17" s="553"/>
      <c r="B17" s="1106"/>
      <c r="C17" s="1107"/>
      <c r="D17" s="1108"/>
      <c r="E17" s="1109"/>
      <c r="F17" s="1110"/>
      <c r="G17" s="1110"/>
      <c r="H17" s="1111"/>
      <c r="I17" s="1112"/>
      <c r="J17" s="1113"/>
      <c r="K17" s="1114"/>
      <c r="L17" s="1112"/>
      <c r="M17" s="1113"/>
      <c r="N17" s="1115"/>
      <c r="O17" s="1116"/>
      <c r="P17" s="1117"/>
      <c r="Q17" s="1115"/>
      <c r="R17" s="1116"/>
      <c r="S17" s="1118"/>
      <c r="T17" s="1119"/>
      <c r="U17" s="1116"/>
      <c r="V17" s="1117"/>
      <c r="W17" s="1144"/>
      <c r="X17" s="1121"/>
      <c r="Y17" s="1122"/>
      <c r="Z17" s="1120"/>
      <c r="AA17" s="1123"/>
      <c r="AB17" s="1122"/>
      <c r="AC17" s="1124"/>
      <c r="AD17" s="461"/>
    </row>
    <row r="18" spans="1:33" s="554" customFormat="1" ht="24" customHeight="1">
      <c r="A18" s="553"/>
      <c r="B18" s="1125"/>
      <c r="C18" s="1025"/>
      <c r="D18" s="1135"/>
      <c r="E18" s="1136"/>
      <c r="F18" s="1137"/>
      <c r="G18" s="1137"/>
      <c r="H18" s="1138"/>
      <c r="I18" s="870"/>
      <c r="J18" s="1139"/>
      <c r="K18" s="1140"/>
      <c r="L18" s="870"/>
      <c r="M18" s="1139"/>
      <c r="N18" s="1140"/>
      <c r="O18" s="564"/>
      <c r="P18" s="1141"/>
      <c r="Q18" s="1142"/>
      <c r="R18" s="564"/>
      <c r="S18" s="1143"/>
      <c r="T18" s="871"/>
      <c r="U18" s="564"/>
      <c r="V18" s="1126"/>
      <c r="W18" s="1130"/>
      <c r="X18" s="1128"/>
      <c r="Y18" s="1129"/>
      <c r="Z18" s="1130"/>
      <c r="AA18" s="1131"/>
      <c r="AB18" s="1132"/>
      <c r="AC18" s="1133"/>
      <c r="AD18" s="866"/>
      <c r="AG18" s="867"/>
    </row>
    <row r="19" spans="1:30" s="554" customFormat="1" ht="24" customHeight="1">
      <c r="A19" s="553"/>
      <c r="B19" s="1106"/>
      <c r="C19" s="1107"/>
      <c r="D19" s="1108"/>
      <c r="E19" s="1109"/>
      <c r="F19" s="1110"/>
      <c r="G19" s="1110"/>
      <c r="H19" s="1111"/>
      <c r="I19" s="1112"/>
      <c r="J19" s="1113"/>
      <c r="K19" s="1114"/>
      <c r="L19" s="1112"/>
      <c r="M19" s="1113"/>
      <c r="N19" s="1115"/>
      <c r="O19" s="1116"/>
      <c r="P19" s="1117"/>
      <c r="Q19" s="1115"/>
      <c r="R19" s="1116"/>
      <c r="S19" s="1118"/>
      <c r="T19" s="1134"/>
      <c r="U19" s="1116"/>
      <c r="V19" s="1117"/>
      <c r="W19" s="1144"/>
      <c r="X19" s="1121"/>
      <c r="Y19" s="1122"/>
      <c r="Z19" s="1120"/>
      <c r="AA19" s="1123"/>
      <c r="AB19" s="1122"/>
      <c r="AC19" s="1124"/>
      <c r="AD19" s="461"/>
    </row>
    <row r="20" spans="1:30" s="554" customFormat="1" ht="24" customHeight="1">
      <c r="A20" s="553"/>
      <c r="B20" s="1125"/>
      <c r="C20" s="1025"/>
      <c r="D20" s="1135"/>
      <c r="E20" s="1136"/>
      <c r="F20" s="1137"/>
      <c r="G20" s="1137"/>
      <c r="H20" s="1138"/>
      <c r="I20" s="870"/>
      <c r="J20" s="1139"/>
      <c r="K20" s="1140"/>
      <c r="L20" s="870"/>
      <c r="M20" s="1139"/>
      <c r="N20" s="1140"/>
      <c r="O20" s="564"/>
      <c r="P20" s="1141"/>
      <c r="Q20" s="1142"/>
      <c r="R20" s="564"/>
      <c r="S20" s="1143"/>
      <c r="T20" s="871"/>
      <c r="U20" s="564"/>
      <c r="V20" s="1126"/>
      <c r="W20" s="1130"/>
      <c r="X20" s="1128"/>
      <c r="Y20" s="1129"/>
      <c r="Z20" s="1130"/>
      <c r="AA20" s="1131"/>
      <c r="AB20" s="1132"/>
      <c r="AC20" s="1133"/>
      <c r="AD20" s="461"/>
    </row>
    <row r="21" spans="1:30" s="554" customFormat="1" ht="24" customHeight="1">
      <c r="A21" s="553"/>
      <c r="B21" s="1145"/>
      <c r="C21" s="1107"/>
      <c r="D21" s="1108"/>
      <c r="E21" s="1109"/>
      <c r="F21" s="1146"/>
      <c r="G21" s="1110"/>
      <c r="H21" s="1111"/>
      <c r="I21" s="1112"/>
      <c r="J21" s="1113"/>
      <c r="K21" s="1114"/>
      <c r="L21" s="1112"/>
      <c r="M21" s="1147"/>
      <c r="N21" s="1115"/>
      <c r="O21" s="1116"/>
      <c r="P21" s="1117"/>
      <c r="Q21" s="1115"/>
      <c r="R21" s="1112"/>
      <c r="S21" s="1118"/>
      <c r="T21" s="1119"/>
      <c r="U21" s="1116"/>
      <c r="V21" s="1117"/>
      <c r="W21" s="1120"/>
      <c r="X21" s="1121"/>
      <c r="Y21" s="1122"/>
      <c r="Z21" s="1120"/>
      <c r="AA21" s="1123"/>
      <c r="AB21" s="1148"/>
      <c r="AC21" s="1124"/>
      <c r="AD21" s="461"/>
    </row>
    <row r="22" spans="1:30" s="554" customFormat="1" ht="24" customHeight="1">
      <c r="A22" s="553"/>
      <c r="B22" s="770"/>
      <c r="C22" s="1149"/>
      <c r="D22" s="1135"/>
      <c r="E22" s="1136"/>
      <c r="F22" s="1150"/>
      <c r="G22" s="1137"/>
      <c r="H22" s="1151"/>
      <c r="I22" s="870"/>
      <c r="J22" s="1139"/>
      <c r="K22" s="1140"/>
      <c r="L22" s="870"/>
      <c r="M22" s="1139"/>
      <c r="N22" s="1142"/>
      <c r="O22" s="564"/>
      <c r="P22" s="1141"/>
      <c r="Q22" s="1142"/>
      <c r="R22" s="870"/>
      <c r="S22" s="1141"/>
      <c r="T22" s="1152"/>
      <c r="U22" s="564"/>
      <c r="V22" s="1126"/>
      <c r="W22" s="1127"/>
      <c r="X22" s="1128"/>
      <c r="Y22" s="1153"/>
      <c r="Z22" s="1130"/>
      <c r="AA22" s="1131"/>
      <c r="AB22" s="1132"/>
      <c r="AC22" s="1133"/>
      <c r="AD22" s="461"/>
    </row>
    <row r="23" spans="1:30" s="554" customFormat="1" ht="24" customHeight="1">
      <c r="A23" s="553"/>
      <c r="B23" s="1087"/>
      <c r="C23" s="1088"/>
      <c r="D23" s="864"/>
      <c r="E23" s="1089"/>
      <c r="F23" s="1090"/>
      <c r="G23" s="1090"/>
      <c r="H23" s="1091"/>
      <c r="I23" s="1092"/>
      <c r="J23" s="1093"/>
      <c r="K23" s="1094"/>
      <c r="L23" s="1092"/>
      <c r="M23" s="1093"/>
      <c r="N23" s="1095"/>
      <c r="O23" s="869"/>
      <c r="P23" s="1096"/>
      <c r="Q23" s="1095"/>
      <c r="R23" s="869"/>
      <c r="S23" s="1097"/>
      <c r="T23" s="1098"/>
      <c r="U23" s="869"/>
      <c r="V23" s="1096"/>
      <c r="W23" s="1084"/>
      <c r="X23" s="1099"/>
      <c r="Y23" s="1100"/>
      <c r="Z23" s="1084"/>
      <c r="AA23" s="1081"/>
      <c r="AB23" s="1100"/>
      <c r="AC23" s="1101"/>
      <c r="AD23" s="461"/>
    </row>
    <row r="24" spans="1:30" s="554" customFormat="1" ht="24" customHeight="1">
      <c r="A24" s="553"/>
      <c r="B24" s="1102"/>
      <c r="C24" s="1003"/>
      <c r="D24" s="864"/>
      <c r="E24" s="1089"/>
      <c r="F24" s="1090"/>
      <c r="G24" s="1090"/>
      <c r="H24" s="1103"/>
      <c r="I24" s="1092"/>
      <c r="J24" s="1093"/>
      <c r="K24" s="868"/>
      <c r="L24" s="1092"/>
      <c r="M24" s="1093"/>
      <c r="N24" s="868"/>
      <c r="O24" s="869"/>
      <c r="P24" s="1096"/>
      <c r="Q24" s="1095"/>
      <c r="R24" s="869"/>
      <c r="S24" s="1097"/>
      <c r="T24" s="1098"/>
      <c r="U24" s="869"/>
      <c r="V24" s="1085"/>
      <c r="W24" s="1084"/>
      <c r="X24" s="1099"/>
      <c r="Y24" s="1100"/>
      <c r="Z24" s="1104"/>
      <c r="AA24" s="1081"/>
      <c r="AB24" s="1105"/>
      <c r="AC24" s="1101"/>
      <c r="AD24" s="461"/>
    </row>
    <row r="25" spans="1:30" s="554" customFormat="1" ht="24" customHeight="1">
      <c r="A25" s="553"/>
      <c r="B25" s="1106"/>
      <c r="C25" s="1107"/>
      <c r="D25" s="1108"/>
      <c r="E25" s="1109"/>
      <c r="F25" s="1110"/>
      <c r="G25" s="1110"/>
      <c r="H25" s="1111"/>
      <c r="I25" s="1112"/>
      <c r="J25" s="1113"/>
      <c r="K25" s="1114"/>
      <c r="L25" s="1112"/>
      <c r="M25" s="1113"/>
      <c r="N25" s="1115"/>
      <c r="O25" s="1116"/>
      <c r="P25" s="1117"/>
      <c r="Q25" s="1115"/>
      <c r="R25" s="1116"/>
      <c r="S25" s="1118"/>
      <c r="T25" s="1119"/>
      <c r="U25" s="1116"/>
      <c r="V25" s="1117"/>
      <c r="W25" s="1120"/>
      <c r="X25" s="1121"/>
      <c r="Y25" s="1122"/>
      <c r="Z25" s="1120"/>
      <c r="AA25" s="1123"/>
      <c r="AB25" s="1122"/>
      <c r="AC25" s="1124"/>
      <c r="AD25" s="461"/>
    </row>
    <row r="26" spans="1:30" s="554" customFormat="1" ht="24" customHeight="1">
      <c r="A26" s="553"/>
      <c r="B26" s="1125"/>
      <c r="C26" s="1025"/>
      <c r="D26" s="1135"/>
      <c r="E26" s="1136"/>
      <c r="F26" s="1137"/>
      <c r="G26" s="1137"/>
      <c r="H26" s="1138"/>
      <c r="I26" s="870"/>
      <c r="J26" s="1139"/>
      <c r="K26" s="1140"/>
      <c r="L26" s="870"/>
      <c r="M26" s="1139"/>
      <c r="N26" s="1140"/>
      <c r="O26" s="564"/>
      <c r="P26" s="1141"/>
      <c r="Q26" s="1142"/>
      <c r="R26" s="564"/>
      <c r="S26" s="1143"/>
      <c r="T26" s="871"/>
      <c r="U26" s="564"/>
      <c r="V26" s="1126"/>
      <c r="W26" s="1127"/>
      <c r="X26" s="1128"/>
      <c r="Y26" s="1129"/>
      <c r="Z26" s="1130"/>
      <c r="AA26" s="1131"/>
      <c r="AB26" s="1132"/>
      <c r="AC26" s="1133"/>
      <c r="AD26" s="461"/>
    </row>
    <row r="27" spans="1:30" s="554" customFormat="1" ht="24" customHeight="1">
      <c r="A27" s="553"/>
      <c r="B27" s="1106"/>
      <c r="C27" s="1107"/>
      <c r="D27" s="1108"/>
      <c r="E27" s="1109"/>
      <c r="F27" s="1110"/>
      <c r="G27" s="1110"/>
      <c r="H27" s="1111"/>
      <c r="I27" s="1112"/>
      <c r="J27" s="1113"/>
      <c r="K27" s="1114"/>
      <c r="L27" s="1112"/>
      <c r="M27" s="1113"/>
      <c r="N27" s="1115"/>
      <c r="O27" s="1116"/>
      <c r="P27" s="1117"/>
      <c r="Q27" s="1115"/>
      <c r="R27" s="1116"/>
      <c r="S27" s="1118"/>
      <c r="T27" s="1134"/>
      <c r="U27" s="1116"/>
      <c r="V27" s="1117"/>
      <c r="W27" s="1120"/>
      <c r="X27" s="1121"/>
      <c r="Y27" s="1122"/>
      <c r="Z27" s="1120"/>
      <c r="AA27" s="1123"/>
      <c r="AB27" s="1122"/>
      <c r="AC27" s="1124"/>
      <c r="AD27" s="461"/>
    </row>
    <row r="28" spans="1:30" s="554" customFormat="1" ht="24" customHeight="1">
      <c r="A28" s="553"/>
      <c r="B28" s="1125"/>
      <c r="C28" s="1025"/>
      <c r="D28" s="1135"/>
      <c r="E28" s="1136"/>
      <c r="F28" s="1137"/>
      <c r="G28" s="1137"/>
      <c r="H28" s="1138"/>
      <c r="I28" s="870"/>
      <c r="J28" s="1139"/>
      <c r="K28" s="1140"/>
      <c r="L28" s="870"/>
      <c r="M28" s="1139"/>
      <c r="N28" s="1140"/>
      <c r="O28" s="564"/>
      <c r="P28" s="1141"/>
      <c r="Q28" s="1142"/>
      <c r="R28" s="564"/>
      <c r="S28" s="1143"/>
      <c r="T28" s="871"/>
      <c r="U28" s="564"/>
      <c r="V28" s="1126"/>
      <c r="W28" s="1127"/>
      <c r="X28" s="1128"/>
      <c r="Y28" s="1129"/>
      <c r="Z28" s="1130"/>
      <c r="AA28" s="1131"/>
      <c r="AB28" s="1132"/>
      <c r="AC28" s="1133"/>
      <c r="AD28" s="461"/>
    </row>
    <row r="29" spans="1:30" s="554" customFormat="1" ht="24" customHeight="1">
      <c r="A29" s="553"/>
      <c r="B29" s="1106"/>
      <c r="C29" s="1107"/>
      <c r="D29" s="1108"/>
      <c r="E29" s="1109"/>
      <c r="F29" s="1110"/>
      <c r="G29" s="1110"/>
      <c r="H29" s="1111"/>
      <c r="I29" s="1112"/>
      <c r="J29" s="1113"/>
      <c r="K29" s="1114"/>
      <c r="L29" s="1112"/>
      <c r="M29" s="1113"/>
      <c r="N29" s="1115"/>
      <c r="O29" s="1116"/>
      <c r="P29" s="1117"/>
      <c r="Q29" s="1115"/>
      <c r="R29" s="1116"/>
      <c r="S29" s="1118"/>
      <c r="T29" s="1134"/>
      <c r="U29" s="1116"/>
      <c r="V29" s="1117"/>
      <c r="W29" s="1120"/>
      <c r="X29" s="1121"/>
      <c r="Y29" s="1122"/>
      <c r="Z29" s="1120"/>
      <c r="AA29" s="1123"/>
      <c r="AB29" s="1122"/>
      <c r="AC29" s="1124"/>
      <c r="AD29" s="461"/>
    </row>
    <row r="30" spans="1:30" s="554" customFormat="1" ht="24" customHeight="1">
      <c r="A30" s="553"/>
      <c r="B30" s="1125"/>
      <c r="C30" s="1025"/>
      <c r="D30" s="1135"/>
      <c r="E30" s="1136"/>
      <c r="F30" s="1137"/>
      <c r="G30" s="1137"/>
      <c r="H30" s="1138"/>
      <c r="I30" s="870"/>
      <c r="J30" s="1139"/>
      <c r="K30" s="1140"/>
      <c r="L30" s="870"/>
      <c r="M30" s="1139"/>
      <c r="N30" s="1140"/>
      <c r="O30" s="564"/>
      <c r="P30" s="1141"/>
      <c r="Q30" s="1142"/>
      <c r="R30" s="564"/>
      <c r="S30" s="1143"/>
      <c r="T30" s="871"/>
      <c r="U30" s="564"/>
      <c r="V30" s="1126"/>
      <c r="W30" s="1127"/>
      <c r="X30" s="1128"/>
      <c r="Y30" s="1129"/>
      <c r="Z30" s="1130"/>
      <c r="AA30" s="1131"/>
      <c r="AB30" s="1132"/>
      <c r="AC30" s="1133"/>
      <c r="AD30" s="461"/>
    </row>
    <row r="31" spans="1:30" s="554" customFormat="1" ht="24" customHeight="1">
      <c r="A31" s="553"/>
      <c r="B31" s="1106"/>
      <c r="C31" s="1107"/>
      <c r="D31" s="1108"/>
      <c r="E31" s="1109"/>
      <c r="F31" s="1110"/>
      <c r="G31" s="1110"/>
      <c r="H31" s="1111"/>
      <c r="I31" s="1112"/>
      <c r="J31" s="1113"/>
      <c r="K31" s="1114"/>
      <c r="L31" s="1112"/>
      <c r="M31" s="1113"/>
      <c r="N31" s="1115"/>
      <c r="O31" s="1116"/>
      <c r="P31" s="1117"/>
      <c r="Q31" s="1115"/>
      <c r="R31" s="1116"/>
      <c r="S31" s="1118"/>
      <c r="T31" s="1119"/>
      <c r="U31" s="1116"/>
      <c r="V31" s="1117"/>
      <c r="W31" s="1144"/>
      <c r="X31" s="1121"/>
      <c r="Y31" s="1122"/>
      <c r="Z31" s="1120"/>
      <c r="AA31" s="1123"/>
      <c r="AB31" s="1122"/>
      <c r="AC31" s="1124"/>
      <c r="AD31" s="461"/>
    </row>
    <row r="32" spans="1:30" s="554" customFormat="1" ht="24" customHeight="1">
      <c r="A32" s="553"/>
      <c r="B32" s="1125"/>
      <c r="C32" s="1025"/>
      <c r="D32" s="1135"/>
      <c r="E32" s="1136"/>
      <c r="F32" s="1137"/>
      <c r="G32" s="1137"/>
      <c r="H32" s="1138"/>
      <c r="I32" s="870"/>
      <c r="J32" s="1139"/>
      <c r="K32" s="1140"/>
      <c r="L32" s="870"/>
      <c r="M32" s="1139"/>
      <c r="N32" s="1140"/>
      <c r="O32" s="564"/>
      <c r="P32" s="1141"/>
      <c r="Q32" s="1142"/>
      <c r="R32" s="564"/>
      <c r="S32" s="1143"/>
      <c r="T32" s="871"/>
      <c r="U32" s="564"/>
      <c r="V32" s="1126"/>
      <c r="W32" s="1130"/>
      <c r="X32" s="1128"/>
      <c r="Y32" s="1129"/>
      <c r="Z32" s="1130"/>
      <c r="AA32" s="1131"/>
      <c r="AB32" s="1132"/>
      <c r="AC32" s="1133"/>
      <c r="AD32" s="461"/>
    </row>
    <row r="33" spans="1:30" s="554" customFormat="1" ht="24" customHeight="1">
      <c r="A33" s="553"/>
      <c r="B33" s="1106"/>
      <c r="C33" s="1107"/>
      <c r="D33" s="1108"/>
      <c r="E33" s="1109"/>
      <c r="F33" s="1110"/>
      <c r="G33" s="1110"/>
      <c r="H33" s="1111"/>
      <c r="I33" s="1112"/>
      <c r="J33" s="1113"/>
      <c r="K33" s="1114"/>
      <c r="L33" s="1112"/>
      <c r="M33" s="1113"/>
      <c r="N33" s="1115"/>
      <c r="O33" s="1116"/>
      <c r="P33" s="1117"/>
      <c r="Q33" s="1115"/>
      <c r="R33" s="1116"/>
      <c r="S33" s="1118"/>
      <c r="T33" s="1134"/>
      <c r="U33" s="1116"/>
      <c r="V33" s="1117"/>
      <c r="W33" s="1144"/>
      <c r="X33" s="1121"/>
      <c r="Y33" s="1122"/>
      <c r="Z33" s="1120"/>
      <c r="AA33" s="1123"/>
      <c r="AB33" s="1122"/>
      <c r="AC33" s="1124"/>
      <c r="AD33" s="461"/>
    </row>
    <row r="34" spans="1:30" s="554" customFormat="1" ht="24" customHeight="1">
      <c r="A34" s="553"/>
      <c r="B34" s="1125"/>
      <c r="C34" s="1025"/>
      <c r="D34" s="1135"/>
      <c r="E34" s="1136"/>
      <c r="F34" s="1137"/>
      <c r="G34" s="1137"/>
      <c r="H34" s="1138"/>
      <c r="I34" s="870"/>
      <c r="J34" s="1139"/>
      <c r="K34" s="1140"/>
      <c r="L34" s="870"/>
      <c r="M34" s="1139"/>
      <c r="N34" s="1140"/>
      <c r="O34" s="564"/>
      <c r="P34" s="1141"/>
      <c r="Q34" s="1142"/>
      <c r="R34" s="564"/>
      <c r="S34" s="1143"/>
      <c r="T34" s="871"/>
      <c r="U34" s="564"/>
      <c r="V34" s="1126"/>
      <c r="W34" s="1130"/>
      <c r="X34" s="1128"/>
      <c r="Y34" s="1129"/>
      <c r="Z34" s="1130"/>
      <c r="AA34" s="1131"/>
      <c r="AB34" s="1132"/>
      <c r="AC34" s="1133"/>
      <c r="AD34" s="461"/>
    </row>
    <row r="35" spans="1:30" s="554" customFormat="1" ht="24" customHeight="1">
      <c r="A35" s="553"/>
      <c r="B35" s="1102"/>
      <c r="C35" s="1003"/>
      <c r="D35" s="864"/>
      <c r="E35" s="1089"/>
      <c r="F35" s="1090"/>
      <c r="G35" s="1090"/>
      <c r="H35" s="1103"/>
      <c r="I35" s="1092"/>
      <c r="J35" s="1093"/>
      <c r="K35" s="868"/>
      <c r="L35" s="1092"/>
      <c r="M35" s="1093"/>
      <c r="N35" s="868"/>
      <c r="O35" s="1112"/>
      <c r="P35" s="1096"/>
      <c r="Q35" s="1095"/>
      <c r="R35" s="869"/>
      <c r="S35" s="1097"/>
      <c r="T35" s="1154"/>
      <c r="U35" s="869"/>
      <c r="V35" s="1085"/>
      <c r="W35" s="1104"/>
      <c r="X35" s="1099"/>
      <c r="Y35" s="1100"/>
      <c r="Z35" s="1104"/>
      <c r="AA35" s="1081"/>
      <c r="AB35" s="1105"/>
      <c r="AC35" s="1101"/>
      <c r="AD35" s="461"/>
    </row>
    <row r="36" spans="1:30" s="554" customFormat="1" ht="24" customHeight="1">
      <c r="A36" s="553"/>
      <c r="B36" s="1102"/>
      <c r="C36" s="1003"/>
      <c r="D36" s="864"/>
      <c r="E36" s="1089"/>
      <c r="F36" s="1090"/>
      <c r="G36" s="1090"/>
      <c r="H36" s="1103"/>
      <c r="I36" s="1092"/>
      <c r="J36" s="1093"/>
      <c r="K36" s="868"/>
      <c r="L36" s="1092"/>
      <c r="M36" s="1093"/>
      <c r="N36" s="868"/>
      <c r="O36" s="870"/>
      <c r="P36" s="1096"/>
      <c r="Q36" s="1095"/>
      <c r="R36" s="869"/>
      <c r="S36" s="1097"/>
      <c r="T36" s="1154"/>
      <c r="U36" s="869"/>
      <c r="V36" s="1085"/>
      <c r="W36" s="1104"/>
      <c r="X36" s="1099"/>
      <c r="Y36" s="1100"/>
      <c r="Z36" s="1104"/>
      <c r="AA36" s="1081"/>
      <c r="AB36" s="1105"/>
      <c r="AC36" s="1101"/>
      <c r="AD36" s="461"/>
    </row>
    <row r="37" spans="1:30" s="554" customFormat="1" ht="24" customHeight="1">
      <c r="A37" s="553"/>
      <c r="B37" s="1145"/>
      <c r="C37" s="1107"/>
      <c r="D37" s="1108"/>
      <c r="E37" s="1109"/>
      <c r="F37" s="1146"/>
      <c r="G37" s="1110"/>
      <c r="H37" s="1111"/>
      <c r="I37" s="1112"/>
      <c r="J37" s="1113"/>
      <c r="K37" s="1114"/>
      <c r="L37" s="1112"/>
      <c r="M37" s="1147"/>
      <c r="N37" s="1115"/>
      <c r="O37" s="1116"/>
      <c r="P37" s="1117"/>
      <c r="Q37" s="1115"/>
      <c r="R37" s="1112"/>
      <c r="S37" s="1118"/>
      <c r="T37" s="1119"/>
      <c r="U37" s="1116"/>
      <c r="V37" s="1117"/>
      <c r="W37" s="1120"/>
      <c r="X37" s="1121"/>
      <c r="Y37" s="1122"/>
      <c r="Z37" s="1120"/>
      <c r="AA37" s="1123"/>
      <c r="AB37" s="1148"/>
      <c r="AC37" s="1124"/>
      <c r="AD37" s="461"/>
    </row>
    <row r="38" spans="1:30" s="554" customFormat="1" ht="24" customHeight="1">
      <c r="A38" s="553"/>
      <c r="B38" s="770"/>
      <c r="C38" s="1149"/>
      <c r="D38" s="1135"/>
      <c r="E38" s="1136"/>
      <c r="F38" s="1150"/>
      <c r="G38" s="1137"/>
      <c r="H38" s="1151"/>
      <c r="I38" s="870"/>
      <c r="J38" s="1139"/>
      <c r="K38" s="1140"/>
      <c r="L38" s="870"/>
      <c r="M38" s="1139"/>
      <c r="N38" s="1142"/>
      <c r="O38" s="564"/>
      <c r="P38" s="1141"/>
      <c r="Q38" s="1142"/>
      <c r="R38" s="870"/>
      <c r="S38" s="1141"/>
      <c r="T38" s="1152"/>
      <c r="U38" s="564"/>
      <c r="V38" s="1126"/>
      <c r="W38" s="1127"/>
      <c r="X38" s="1128"/>
      <c r="Y38" s="1153"/>
      <c r="Z38" s="1130"/>
      <c r="AA38" s="1131"/>
      <c r="AB38" s="1132"/>
      <c r="AC38" s="1133"/>
      <c r="AD38" s="461"/>
    </row>
    <row r="39" spans="1:30" s="554" customFormat="1" ht="24" customHeight="1">
      <c r="A39" s="553"/>
      <c r="B39" s="1155"/>
      <c r="C39" s="1088"/>
      <c r="D39" s="1156"/>
      <c r="E39" s="1089"/>
      <c r="F39" s="1157"/>
      <c r="G39" s="1090"/>
      <c r="H39" s="1158"/>
      <c r="I39" s="1092"/>
      <c r="J39" s="1093"/>
      <c r="K39" s="1159"/>
      <c r="L39" s="1092"/>
      <c r="M39" s="1093"/>
      <c r="N39" s="868"/>
      <c r="O39" s="869"/>
      <c r="P39" s="1096"/>
      <c r="Q39" s="1095"/>
      <c r="R39" s="1092"/>
      <c r="S39" s="1096"/>
      <c r="T39" s="1098"/>
      <c r="U39" s="869"/>
      <c r="V39" s="1085"/>
      <c r="W39" s="1084"/>
      <c r="X39" s="1081"/>
      <c r="Y39" s="1100"/>
      <c r="Z39" s="1104"/>
      <c r="AA39" s="1081"/>
      <c r="AB39" s="1105"/>
      <c r="AC39" s="1101"/>
      <c r="AD39" s="461"/>
    </row>
    <row r="40" spans="1:30" s="554" customFormat="1" ht="24" customHeight="1">
      <c r="A40" s="553"/>
      <c r="B40" s="770"/>
      <c r="C40" s="1149"/>
      <c r="D40" s="1135"/>
      <c r="E40" s="1136"/>
      <c r="F40" s="1150"/>
      <c r="G40" s="1137"/>
      <c r="H40" s="1160"/>
      <c r="I40" s="1161"/>
      <c r="J40" s="1139"/>
      <c r="K40" s="1162"/>
      <c r="L40" s="1161"/>
      <c r="M40" s="1139"/>
      <c r="N40" s="1140"/>
      <c r="O40" s="1161"/>
      <c r="P40" s="1139"/>
      <c r="Q40" s="1142"/>
      <c r="R40" s="1161"/>
      <c r="S40" s="1141"/>
      <c r="T40" s="1152"/>
      <c r="U40" s="1128"/>
      <c r="V40" s="1128"/>
      <c r="W40" s="1127"/>
      <c r="X40" s="1128"/>
      <c r="Y40" s="1141"/>
      <c r="Z40" s="1163"/>
      <c r="AA40" s="1161"/>
      <c r="AB40" s="1164"/>
      <c r="AC40" s="1133"/>
      <c r="AD40" s="461"/>
    </row>
    <row r="41" spans="1:30" s="554" customFormat="1" ht="24" customHeight="1">
      <c r="A41" s="553"/>
      <c r="B41" s="1155"/>
      <c r="C41" s="1088"/>
      <c r="D41" s="1156"/>
      <c r="E41" s="1089"/>
      <c r="F41" s="1157"/>
      <c r="G41" s="1090"/>
      <c r="H41" s="1158"/>
      <c r="I41" s="1092"/>
      <c r="J41" s="1093"/>
      <c r="K41" s="1159"/>
      <c r="L41" s="1092"/>
      <c r="M41" s="1093"/>
      <c r="N41" s="868"/>
      <c r="O41" s="1112"/>
      <c r="P41" s="1093"/>
      <c r="Q41" s="1095"/>
      <c r="R41" s="1092"/>
      <c r="S41" s="1096"/>
      <c r="T41" s="1098"/>
      <c r="U41" s="869"/>
      <c r="V41" s="1085"/>
      <c r="W41" s="1084"/>
      <c r="X41" s="1081"/>
      <c r="Y41" s="1100"/>
      <c r="Z41" s="1104"/>
      <c r="AA41" s="1081"/>
      <c r="AB41" s="1105"/>
      <c r="AC41" s="1101"/>
      <c r="AD41" s="461"/>
    </row>
    <row r="42" spans="1:30" s="554" customFormat="1" ht="24" customHeight="1">
      <c r="A42" s="553"/>
      <c r="B42" s="770"/>
      <c r="C42" s="1149"/>
      <c r="D42" s="1135"/>
      <c r="E42" s="1136"/>
      <c r="F42" s="1150"/>
      <c r="G42" s="1137"/>
      <c r="H42" s="1160"/>
      <c r="I42" s="870"/>
      <c r="J42" s="1139"/>
      <c r="K42" s="1162"/>
      <c r="L42" s="870"/>
      <c r="M42" s="1139"/>
      <c r="N42" s="1140"/>
      <c r="O42" s="870"/>
      <c r="P42" s="1165"/>
      <c r="Q42" s="1166"/>
      <c r="R42" s="870"/>
      <c r="S42" s="1141"/>
      <c r="T42" s="1152"/>
      <c r="U42" s="564"/>
      <c r="V42" s="1126"/>
      <c r="W42" s="1127"/>
      <c r="X42" s="1131"/>
      <c r="Y42" s="1129"/>
      <c r="Z42" s="1130"/>
      <c r="AA42" s="1131"/>
      <c r="AB42" s="1132"/>
      <c r="AC42" s="1133"/>
      <c r="AD42" s="461"/>
    </row>
    <row r="43" spans="1:30" s="554" customFormat="1" ht="24" customHeight="1">
      <c r="A43" s="553"/>
      <c r="B43" s="1167"/>
      <c r="C43" s="1088"/>
      <c r="D43" s="1156"/>
      <c r="E43" s="1089"/>
      <c r="F43" s="1157"/>
      <c r="G43" s="1090"/>
      <c r="H43" s="1091"/>
      <c r="I43" s="1092"/>
      <c r="J43" s="1093"/>
      <c r="K43" s="1094"/>
      <c r="L43" s="1092"/>
      <c r="M43" s="1093"/>
      <c r="N43" s="1095"/>
      <c r="O43" s="1092"/>
      <c r="P43" s="1096"/>
      <c r="Q43" s="1095"/>
      <c r="R43" s="1092"/>
      <c r="S43" s="1097"/>
      <c r="T43" s="1154"/>
      <c r="U43" s="869"/>
      <c r="V43" s="1096"/>
      <c r="W43" s="1104"/>
      <c r="X43" s="1099"/>
      <c r="Y43" s="1100"/>
      <c r="Z43" s="1084"/>
      <c r="AA43" s="1081"/>
      <c r="AB43" s="1105"/>
      <c r="AC43" s="1101"/>
      <c r="AD43" s="461"/>
    </row>
    <row r="44" spans="1:30" s="554" customFormat="1" ht="24" customHeight="1">
      <c r="A44" s="553"/>
      <c r="B44" s="770"/>
      <c r="C44" s="1168"/>
      <c r="D44" s="1135"/>
      <c r="E44" s="1136"/>
      <c r="F44" s="1150"/>
      <c r="G44" s="1137"/>
      <c r="H44" s="1160"/>
      <c r="I44" s="870"/>
      <c r="J44" s="870"/>
      <c r="K44" s="1140"/>
      <c r="L44" s="870"/>
      <c r="M44" s="1308"/>
      <c r="N44" s="1140"/>
      <c r="O44" s="870"/>
      <c r="P44" s="1308"/>
      <c r="Q44" s="1142"/>
      <c r="R44" s="870"/>
      <c r="S44" s="1169"/>
      <c r="T44" s="871"/>
      <c r="U44" s="564"/>
      <c r="V44" s="564"/>
      <c r="W44" s="1130"/>
      <c r="X44" s="1131"/>
      <c r="Y44" s="1131"/>
      <c r="Z44" s="1130"/>
      <c r="AA44" s="564"/>
      <c r="AB44" s="564"/>
      <c r="AC44" s="1133"/>
      <c r="AD44" s="461"/>
    </row>
    <row r="45" spans="1:30" s="554" customFormat="1" ht="24" customHeight="1">
      <c r="A45" s="553"/>
      <c r="B45" s="444"/>
      <c r="C45" s="532"/>
      <c r="D45" s="528"/>
      <c r="E45" s="536"/>
      <c r="F45" s="538"/>
      <c r="G45" s="540"/>
      <c r="H45" s="415"/>
      <c r="I45" s="416"/>
      <c r="J45" s="417"/>
      <c r="K45" s="418"/>
      <c r="L45" s="416"/>
      <c r="M45" s="417"/>
      <c r="N45" s="448"/>
      <c r="O45" s="419"/>
      <c r="P45" s="420"/>
      <c r="Q45" s="414"/>
      <c r="R45" s="416"/>
      <c r="S45" s="421"/>
      <c r="T45" s="783"/>
      <c r="U45" s="419"/>
      <c r="V45" s="420"/>
      <c r="W45" s="429"/>
      <c r="X45" s="423"/>
      <c r="Y45" s="424"/>
      <c r="Z45" s="190"/>
      <c r="AA45" s="191"/>
      <c r="AB45" s="558"/>
      <c r="AC45" s="425"/>
      <c r="AD45" s="461"/>
    </row>
    <row r="46" spans="1:30" s="554" customFormat="1" ht="24" customHeight="1">
      <c r="A46" s="553"/>
      <c r="B46" s="445"/>
      <c r="C46" s="533"/>
      <c r="D46" s="526"/>
      <c r="E46" s="399"/>
      <c r="F46" s="539"/>
      <c r="G46" s="400"/>
      <c r="H46" s="563"/>
      <c r="I46" s="432"/>
      <c r="J46" s="781"/>
      <c r="K46" s="430"/>
      <c r="L46" s="432"/>
      <c r="M46" s="781"/>
      <c r="N46" s="430"/>
      <c r="O46" s="432"/>
      <c r="P46" s="433"/>
      <c r="Q46" s="446"/>
      <c r="R46" s="432"/>
      <c r="S46" s="436"/>
      <c r="T46" s="782"/>
      <c r="U46" s="432"/>
      <c r="V46" s="781"/>
      <c r="W46" s="441"/>
      <c r="X46" s="552"/>
      <c r="Y46" s="452"/>
      <c r="Z46" s="441"/>
      <c r="AA46" s="439"/>
      <c r="AB46" s="439"/>
      <c r="AC46" s="443"/>
      <c r="AD46" s="461"/>
    </row>
    <row r="47" spans="1:30" s="554" customFormat="1" ht="24" customHeight="1">
      <c r="A47" s="553"/>
      <c r="B47" s="444"/>
      <c r="C47" s="532"/>
      <c r="D47" s="771"/>
      <c r="E47" s="536"/>
      <c r="F47" s="538"/>
      <c r="G47" s="768"/>
      <c r="H47" s="523"/>
      <c r="I47" s="416"/>
      <c r="J47" s="417"/>
      <c r="K47" s="418"/>
      <c r="L47" s="416"/>
      <c r="M47" s="417"/>
      <c r="N47" s="427"/>
      <c r="O47" s="419"/>
      <c r="P47" s="420"/>
      <c r="Q47" s="414"/>
      <c r="R47" s="416"/>
      <c r="S47" s="421"/>
      <c r="T47" s="422"/>
      <c r="U47" s="419"/>
      <c r="V47" s="420"/>
      <c r="W47" s="190"/>
      <c r="X47" s="423"/>
      <c r="Y47" s="424"/>
      <c r="Z47" s="190"/>
      <c r="AA47" s="191"/>
      <c r="AB47" s="558"/>
      <c r="AC47" s="425"/>
      <c r="AD47" s="461"/>
    </row>
    <row r="48" spans="1:30" s="554" customFormat="1" ht="24" customHeight="1">
      <c r="A48" s="553"/>
      <c r="B48" s="770"/>
      <c r="C48" s="533"/>
      <c r="D48" s="526"/>
      <c r="E48" s="399"/>
      <c r="F48" s="539"/>
      <c r="G48" s="400"/>
      <c r="H48" s="449"/>
      <c r="I48" s="432"/>
      <c r="J48" s="433"/>
      <c r="K48" s="430"/>
      <c r="L48" s="432"/>
      <c r="M48" s="433"/>
      <c r="N48" s="430"/>
      <c r="O48" s="432"/>
      <c r="P48" s="433"/>
      <c r="Q48" s="446"/>
      <c r="R48" s="432"/>
      <c r="S48" s="436"/>
      <c r="T48" s="437"/>
      <c r="U48" s="432"/>
      <c r="V48" s="450"/>
      <c r="W48" s="438"/>
      <c r="X48" s="552"/>
      <c r="Y48" s="452"/>
      <c r="Z48" s="441"/>
      <c r="AA48" s="439"/>
      <c r="AB48" s="557"/>
      <c r="AC48" s="443"/>
      <c r="AD48" s="461"/>
    </row>
    <row r="49" spans="1:30" s="554" customFormat="1" ht="24" customHeight="1">
      <c r="A49" s="553"/>
      <c r="B49" s="444"/>
      <c r="C49" s="532"/>
      <c r="D49" s="771"/>
      <c r="E49" s="536"/>
      <c r="F49" s="538"/>
      <c r="G49" s="540"/>
      <c r="H49" s="523"/>
      <c r="I49" s="416"/>
      <c r="J49" s="417"/>
      <c r="K49" s="418"/>
      <c r="L49" s="416"/>
      <c r="M49" s="417"/>
      <c r="N49" s="448"/>
      <c r="O49" s="419"/>
      <c r="P49" s="420"/>
      <c r="Q49" s="414"/>
      <c r="R49" s="416"/>
      <c r="S49" s="421"/>
      <c r="T49" s="422"/>
      <c r="U49" s="419"/>
      <c r="V49" s="420"/>
      <c r="W49" s="190"/>
      <c r="X49" s="423"/>
      <c r="Y49" s="424"/>
      <c r="Z49" s="190"/>
      <c r="AA49" s="191"/>
      <c r="AB49" s="558"/>
      <c r="AC49" s="425"/>
      <c r="AD49" s="461"/>
    </row>
    <row r="50" spans="1:30" s="554" customFormat="1" ht="24" customHeight="1">
      <c r="A50" s="553"/>
      <c r="B50" s="770"/>
      <c r="C50" s="533"/>
      <c r="D50" s="526"/>
      <c r="E50" s="399"/>
      <c r="F50" s="539"/>
      <c r="G50" s="400"/>
      <c r="H50" s="563"/>
      <c r="I50" s="432"/>
      <c r="J50" s="433"/>
      <c r="K50" s="430"/>
      <c r="L50" s="432"/>
      <c r="M50" s="433"/>
      <c r="N50" s="430"/>
      <c r="O50" s="432"/>
      <c r="P50" s="433"/>
      <c r="Q50" s="446"/>
      <c r="R50" s="432"/>
      <c r="S50" s="436"/>
      <c r="T50" s="437"/>
      <c r="U50" s="432"/>
      <c r="V50" s="450"/>
      <c r="W50" s="438"/>
      <c r="X50" s="552"/>
      <c r="Y50" s="452"/>
      <c r="Z50" s="441"/>
      <c r="AA50" s="439"/>
      <c r="AB50" s="557"/>
      <c r="AC50" s="443"/>
      <c r="AD50" s="461"/>
    </row>
    <row r="51" spans="1:30" s="554" customFormat="1" ht="24" customHeight="1">
      <c r="A51" s="553"/>
      <c r="B51" s="444"/>
      <c r="C51" s="532"/>
      <c r="D51" s="527"/>
      <c r="E51" s="536"/>
      <c r="F51" s="538"/>
      <c r="G51" s="537"/>
      <c r="H51" s="415"/>
      <c r="I51" s="416"/>
      <c r="J51" s="417"/>
      <c r="K51" s="418"/>
      <c r="L51" s="416"/>
      <c r="M51" s="417"/>
      <c r="N51" s="448"/>
      <c r="O51" s="419"/>
      <c r="P51" s="453"/>
      <c r="Q51" s="556"/>
      <c r="R51" s="416"/>
      <c r="S51" s="421"/>
      <c r="T51" s="454"/>
      <c r="U51" s="419"/>
      <c r="V51" s="420"/>
      <c r="W51" s="455"/>
      <c r="X51" s="456"/>
      <c r="Y51" s="457"/>
      <c r="Z51" s="429"/>
      <c r="AA51" s="191"/>
      <c r="AB51" s="559"/>
      <c r="AC51" s="458"/>
      <c r="AD51" s="461"/>
    </row>
    <row r="52" spans="1:30" s="554" customFormat="1" ht="24" customHeight="1">
      <c r="A52" s="553"/>
      <c r="B52" s="459"/>
      <c r="C52" s="532"/>
      <c r="D52" s="525"/>
      <c r="E52" s="536"/>
      <c r="F52" s="538"/>
      <c r="G52" s="537"/>
      <c r="H52" s="460"/>
      <c r="I52" s="416"/>
      <c r="J52" s="417"/>
      <c r="K52" s="428"/>
      <c r="L52" s="416"/>
      <c r="M52" s="417"/>
      <c r="N52" s="426"/>
      <c r="O52" s="419"/>
      <c r="P52" s="420"/>
      <c r="Q52" s="414"/>
      <c r="R52" s="416"/>
      <c r="S52" s="420"/>
      <c r="T52" s="422"/>
      <c r="U52" s="419"/>
      <c r="V52" s="189"/>
      <c r="W52" s="190"/>
      <c r="X52" s="191"/>
      <c r="Y52" s="424"/>
      <c r="Z52" s="429"/>
      <c r="AA52" s="191"/>
      <c r="AB52" s="558"/>
      <c r="AC52" s="425"/>
      <c r="AD52" s="461"/>
    </row>
    <row r="53" spans="1:30" s="554" customFormat="1" ht="24" customHeight="1">
      <c r="A53" s="553"/>
      <c r="B53" s="772"/>
      <c r="C53" s="534"/>
      <c r="D53" s="529"/>
      <c r="E53" s="541"/>
      <c r="F53" s="542"/>
      <c r="G53" s="543"/>
      <c r="H53" s="547"/>
      <c r="I53" s="467"/>
      <c r="J53" s="468"/>
      <c r="K53" s="548"/>
      <c r="L53" s="467"/>
      <c r="M53" s="468"/>
      <c r="N53" s="548"/>
      <c r="O53" s="470"/>
      <c r="P53" s="471"/>
      <c r="Q53" s="465"/>
      <c r="R53" s="467"/>
      <c r="S53" s="471"/>
      <c r="T53" s="473"/>
      <c r="U53" s="470"/>
      <c r="V53" s="205"/>
      <c r="W53" s="455"/>
      <c r="X53" s="549"/>
      <c r="Y53" s="550"/>
      <c r="Z53" s="551"/>
      <c r="AA53" s="476"/>
      <c r="AB53" s="560"/>
      <c r="AC53" s="458"/>
      <c r="AD53" s="461"/>
    </row>
    <row r="54" spans="1:30" s="554" customFormat="1" ht="24" customHeight="1">
      <c r="A54" s="553"/>
      <c r="B54" s="445"/>
      <c r="C54" s="533"/>
      <c r="D54" s="526"/>
      <c r="E54" s="399"/>
      <c r="F54" s="539"/>
      <c r="G54" s="400"/>
      <c r="H54" s="449"/>
      <c r="I54" s="432"/>
      <c r="J54" s="433"/>
      <c r="K54" s="434"/>
      <c r="L54" s="432"/>
      <c r="M54" s="462"/>
      <c r="N54" s="463"/>
      <c r="O54" s="435"/>
      <c r="P54" s="436"/>
      <c r="Q54" s="446"/>
      <c r="R54" s="432"/>
      <c r="S54" s="436"/>
      <c r="T54" s="437"/>
      <c r="U54" s="435"/>
      <c r="V54" s="192"/>
      <c r="W54" s="438"/>
      <c r="X54" s="451"/>
      <c r="Y54" s="452"/>
      <c r="Z54" s="441"/>
      <c r="AA54" s="439"/>
      <c r="AB54" s="557"/>
      <c r="AC54" s="443"/>
      <c r="AD54" s="461"/>
    </row>
    <row r="55" spans="1:30" s="554" customFormat="1" ht="24" customHeight="1">
      <c r="A55" s="553"/>
      <c r="B55" s="772"/>
      <c r="C55" s="532"/>
      <c r="D55" s="528"/>
      <c r="E55" s="536"/>
      <c r="F55" s="538"/>
      <c r="G55" s="537"/>
      <c r="H55" s="415"/>
      <c r="I55" s="416"/>
      <c r="J55" s="417"/>
      <c r="K55" s="418"/>
      <c r="L55" s="416"/>
      <c r="M55" s="417"/>
      <c r="N55" s="427"/>
      <c r="O55" s="416"/>
      <c r="P55" s="420"/>
      <c r="Q55" s="414"/>
      <c r="R55" s="416"/>
      <c r="S55" s="421"/>
      <c r="T55" s="422"/>
      <c r="U55" s="419"/>
      <c r="V55" s="420"/>
      <c r="W55" s="190"/>
      <c r="X55" s="456"/>
      <c r="Y55" s="457"/>
      <c r="Z55" s="190"/>
      <c r="AA55" s="191"/>
      <c r="AB55" s="558"/>
      <c r="AC55" s="425"/>
      <c r="AD55" s="461"/>
    </row>
    <row r="56" spans="1:30" s="554" customFormat="1" ht="24" customHeight="1">
      <c r="A56" s="553"/>
      <c r="B56" s="445"/>
      <c r="C56" s="533"/>
      <c r="D56" s="526"/>
      <c r="E56" s="399"/>
      <c r="F56" s="539"/>
      <c r="G56" s="400"/>
      <c r="H56" s="449"/>
      <c r="I56" s="432"/>
      <c r="J56" s="433"/>
      <c r="K56" s="434"/>
      <c r="L56" s="432"/>
      <c r="M56" s="433"/>
      <c r="N56" s="430"/>
      <c r="O56" s="435"/>
      <c r="P56" s="436"/>
      <c r="Q56" s="555"/>
      <c r="R56" s="432"/>
      <c r="S56" s="436"/>
      <c r="T56" s="437"/>
      <c r="U56" s="435"/>
      <c r="V56" s="192"/>
      <c r="W56" s="438"/>
      <c r="X56" s="439"/>
      <c r="Y56" s="447"/>
      <c r="Z56" s="441"/>
      <c r="AA56" s="439"/>
      <c r="AB56" s="557"/>
      <c r="AC56" s="443"/>
      <c r="AD56" s="461"/>
    </row>
    <row r="57" spans="1:30" s="554" customFormat="1" ht="24" customHeight="1">
      <c r="A57" s="553"/>
      <c r="B57" s="772"/>
      <c r="C57" s="534"/>
      <c r="D57" s="529"/>
      <c r="E57" s="541"/>
      <c r="F57" s="542"/>
      <c r="G57" s="543"/>
      <c r="H57" s="466"/>
      <c r="I57" s="467"/>
      <c r="J57" s="468"/>
      <c r="K57" s="469"/>
      <c r="L57" s="467"/>
      <c r="M57" s="468"/>
      <c r="N57" s="465"/>
      <c r="O57" s="470"/>
      <c r="P57" s="471"/>
      <c r="Q57" s="465"/>
      <c r="R57" s="467"/>
      <c r="S57" s="472"/>
      <c r="T57" s="473"/>
      <c r="U57" s="470"/>
      <c r="V57" s="471"/>
      <c r="W57" s="455"/>
      <c r="X57" s="474"/>
      <c r="Y57" s="475"/>
      <c r="Z57" s="455"/>
      <c r="AA57" s="476"/>
      <c r="AB57" s="475"/>
      <c r="AC57" s="458"/>
      <c r="AD57" s="461"/>
    </row>
    <row r="58" spans="1:30" s="554" customFormat="1" ht="24" customHeight="1">
      <c r="A58" s="553"/>
      <c r="B58" s="445"/>
      <c r="C58" s="535"/>
      <c r="D58" s="530"/>
      <c r="E58" s="544"/>
      <c r="F58" s="545"/>
      <c r="G58" s="546"/>
      <c r="H58" s="478"/>
      <c r="I58" s="479"/>
      <c r="J58" s="480"/>
      <c r="K58" s="477"/>
      <c r="L58" s="479"/>
      <c r="M58" s="480"/>
      <c r="N58" s="477"/>
      <c r="O58" s="481"/>
      <c r="P58" s="482"/>
      <c r="Q58" s="776"/>
      <c r="R58" s="777"/>
      <c r="S58" s="480"/>
      <c r="T58" s="483"/>
      <c r="U58" s="481"/>
      <c r="V58" s="215"/>
      <c r="W58" s="438"/>
      <c r="X58" s="484"/>
      <c r="Y58" s="485"/>
      <c r="Z58" s="486"/>
      <c r="AA58" s="484"/>
      <c r="AB58" s="566"/>
      <c r="AC58" s="487"/>
      <c r="AD58" s="461"/>
    </row>
    <row r="59" spans="1:30" s="554" customFormat="1" ht="24" customHeight="1">
      <c r="A59" s="553"/>
      <c r="B59" s="464"/>
      <c r="C59" s="532"/>
      <c r="D59" s="525"/>
      <c r="E59" s="536"/>
      <c r="F59" s="538"/>
      <c r="G59" s="537"/>
      <c r="H59" s="415"/>
      <c r="I59" s="416"/>
      <c r="J59" s="417"/>
      <c r="K59" s="418"/>
      <c r="L59" s="416"/>
      <c r="M59" s="417"/>
      <c r="N59" s="414"/>
      <c r="O59" s="419"/>
      <c r="P59" s="420"/>
      <c r="Q59" s="414"/>
      <c r="R59" s="416"/>
      <c r="S59" s="421"/>
      <c r="T59" s="422"/>
      <c r="U59" s="419"/>
      <c r="V59" s="420"/>
      <c r="W59" s="190"/>
      <c r="X59" s="423"/>
      <c r="Y59" s="424"/>
      <c r="Z59" s="190"/>
      <c r="AA59" s="191"/>
      <c r="AB59" s="424"/>
      <c r="AC59" s="425"/>
      <c r="AD59" s="461"/>
    </row>
    <row r="60" spans="1:30" s="554" customFormat="1" ht="24" customHeight="1">
      <c r="A60" s="553"/>
      <c r="B60" s="488"/>
      <c r="C60" s="533"/>
      <c r="D60" s="526"/>
      <c r="E60" s="399"/>
      <c r="F60" s="539"/>
      <c r="G60" s="400"/>
      <c r="H60" s="431"/>
      <c r="I60" s="432"/>
      <c r="J60" s="433"/>
      <c r="K60" s="434"/>
      <c r="L60" s="432"/>
      <c r="M60" s="433"/>
      <c r="N60" s="430"/>
      <c r="O60" s="435"/>
      <c r="P60" s="436"/>
      <c r="Q60" s="446"/>
      <c r="R60" s="432"/>
      <c r="S60" s="436"/>
      <c r="T60" s="437"/>
      <c r="U60" s="435"/>
      <c r="V60" s="192"/>
      <c r="W60" s="438"/>
      <c r="X60" s="451"/>
      <c r="Y60" s="452"/>
      <c r="Z60" s="441"/>
      <c r="AA60" s="451"/>
      <c r="AB60" s="489"/>
      <c r="AC60" s="443"/>
      <c r="AD60" s="461"/>
    </row>
    <row r="61" spans="1:30" s="554" customFormat="1" ht="24" customHeight="1">
      <c r="A61" s="553"/>
      <c r="B61" s="464"/>
      <c r="C61" s="532"/>
      <c r="D61" s="527"/>
      <c r="E61" s="536"/>
      <c r="F61" s="538"/>
      <c r="G61" s="537"/>
      <c r="H61" s="415"/>
      <c r="I61" s="416"/>
      <c r="J61" s="417"/>
      <c r="K61" s="418"/>
      <c r="L61" s="416"/>
      <c r="M61" s="417"/>
      <c r="N61" s="414"/>
      <c r="O61" s="416"/>
      <c r="P61" s="417"/>
      <c r="Q61" s="414"/>
      <c r="R61" s="416"/>
      <c r="S61" s="421"/>
      <c r="T61" s="422"/>
      <c r="U61" s="419"/>
      <c r="V61" s="420"/>
      <c r="W61" s="190"/>
      <c r="X61" s="423"/>
      <c r="Y61" s="424"/>
      <c r="Z61" s="190"/>
      <c r="AA61" s="191"/>
      <c r="AB61" s="424"/>
      <c r="AC61" s="425"/>
      <c r="AD61" s="461"/>
    </row>
    <row r="62" spans="1:30" s="554" customFormat="1" ht="24" customHeight="1">
      <c r="A62" s="553"/>
      <c r="B62" s="488"/>
      <c r="C62" s="533"/>
      <c r="D62" s="526"/>
      <c r="E62" s="399"/>
      <c r="F62" s="539"/>
      <c r="G62" s="400"/>
      <c r="H62" s="449"/>
      <c r="I62" s="432"/>
      <c r="J62" s="773"/>
      <c r="K62" s="434"/>
      <c r="L62" s="432"/>
      <c r="M62" s="433"/>
      <c r="N62" s="430"/>
      <c r="O62" s="432"/>
      <c r="P62" s="433"/>
      <c r="Q62" s="446"/>
      <c r="R62" s="432"/>
      <c r="S62" s="769"/>
      <c r="T62" s="437"/>
      <c r="U62" s="435"/>
      <c r="V62" s="192"/>
      <c r="W62" s="438"/>
      <c r="X62" s="439"/>
      <c r="Y62" s="440"/>
      <c r="Z62" s="441"/>
      <c r="AA62" s="435"/>
      <c r="AB62" s="561"/>
      <c r="AC62" s="487"/>
      <c r="AD62" s="461"/>
    </row>
    <row r="63" spans="1:30" s="554" customFormat="1" ht="24" customHeight="1">
      <c r="A63" s="553"/>
      <c r="B63" s="464"/>
      <c r="C63" s="532"/>
      <c r="D63" s="525"/>
      <c r="E63" s="536"/>
      <c r="F63" s="538"/>
      <c r="G63" s="537"/>
      <c r="H63" s="415"/>
      <c r="I63" s="416"/>
      <c r="J63" s="417"/>
      <c r="K63" s="418"/>
      <c r="L63" s="416"/>
      <c r="M63" s="417"/>
      <c r="N63" s="414"/>
      <c r="O63" s="416"/>
      <c r="P63" s="417"/>
      <c r="Q63" s="414"/>
      <c r="R63" s="419"/>
      <c r="S63" s="421"/>
      <c r="T63" s="422"/>
      <c r="U63" s="419"/>
      <c r="V63" s="420"/>
      <c r="W63" s="190"/>
      <c r="X63" s="423"/>
      <c r="Y63" s="424"/>
      <c r="Z63" s="190"/>
      <c r="AA63" s="191"/>
      <c r="AB63" s="424"/>
      <c r="AC63" s="425"/>
      <c r="AD63" s="461"/>
    </row>
    <row r="64" spans="1:30" s="554" customFormat="1" ht="24" customHeight="1">
      <c r="A64" s="553"/>
      <c r="B64" s="488"/>
      <c r="C64" s="533"/>
      <c r="D64" s="526"/>
      <c r="E64" s="399"/>
      <c r="F64" s="539"/>
      <c r="G64" s="400"/>
      <c r="H64" s="449"/>
      <c r="I64" s="432"/>
      <c r="J64" s="433"/>
      <c r="K64" s="434"/>
      <c r="L64" s="432"/>
      <c r="M64" s="433"/>
      <c r="N64" s="430"/>
      <c r="O64" s="432"/>
      <c r="P64" s="490"/>
      <c r="Q64" s="446"/>
      <c r="R64" s="435"/>
      <c r="S64" s="436"/>
      <c r="T64" s="437"/>
      <c r="U64" s="435"/>
      <c r="V64" s="192"/>
      <c r="W64" s="438"/>
      <c r="X64" s="439"/>
      <c r="Y64" s="440"/>
      <c r="Z64" s="441"/>
      <c r="AA64" s="439"/>
      <c r="AB64" s="442"/>
      <c r="AC64" s="443"/>
      <c r="AD64" s="461"/>
    </row>
    <row r="65" spans="1:30" s="554" customFormat="1" ht="24" customHeight="1">
      <c r="A65" s="553"/>
      <c r="B65" s="464"/>
      <c r="C65" s="532"/>
      <c r="D65" s="529"/>
      <c r="E65" s="536"/>
      <c r="F65" s="538"/>
      <c r="G65" s="537"/>
      <c r="H65" s="415"/>
      <c r="I65" s="416"/>
      <c r="J65" s="417"/>
      <c r="K65" s="418"/>
      <c r="L65" s="416"/>
      <c r="M65" s="417"/>
      <c r="N65" s="414"/>
      <c r="O65" s="419"/>
      <c r="P65" s="420"/>
      <c r="Q65" s="522"/>
      <c r="R65" s="419"/>
      <c r="S65" s="421"/>
      <c r="T65" s="422"/>
      <c r="U65" s="419"/>
      <c r="V65" s="420"/>
      <c r="W65" s="190"/>
      <c r="X65" s="423"/>
      <c r="Y65" s="424"/>
      <c r="Z65" s="190"/>
      <c r="AA65" s="191"/>
      <c r="AB65" s="424"/>
      <c r="AC65" s="425"/>
      <c r="AD65" s="461"/>
    </row>
    <row r="66" spans="1:30" s="554" customFormat="1" ht="24" customHeight="1">
      <c r="A66" s="553"/>
      <c r="B66" s="445"/>
      <c r="C66" s="533"/>
      <c r="D66" s="530"/>
      <c r="E66" s="399"/>
      <c r="F66" s="539"/>
      <c r="G66" s="400"/>
      <c r="H66" s="563"/>
      <c r="I66" s="432"/>
      <c r="J66" s="433"/>
      <c r="K66" s="434"/>
      <c r="L66" s="432"/>
      <c r="M66" s="433"/>
      <c r="N66" s="430"/>
      <c r="O66" s="435"/>
      <c r="P66" s="436"/>
      <c r="Q66" s="774"/>
      <c r="R66" s="775"/>
      <c r="S66" s="433"/>
      <c r="T66" s="778"/>
      <c r="U66" s="435"/>
      <c r="V66" s="192"/>
      <c r="W66" s="438"/>
      <c r="X66" s="439"/>
      <c r="Y66" s="440"/>
      <c r="Z66" s="441"/>
      <c r="AA66" s="439"/>
      <c r="AB66" s="494"/>
      <c r="AC66" s="443"/>
      <c r="AD66" s="461"/>
    </row>
    <row r="67" spans="1:30" s="554" customFormat="1" ht="24" customHeight="1">
      <c r="A67" s="553"/>
      <c r="B67" s="464"/>
      <c r="C67" s="532"/>
      <c r="D67" s="525"/>
      <c r="E67" s="536"/>
      <c r="F67" s="537"/>
      <c r="G67" s="537"/>
      <c r="H67" s="415"/>
      <c r="I67" s="419"/>
      <c r="J67" s="420"/>
      <c r="K67" s="418"/>
      <c r="L67" s="419"/>
      <c r="M67" s="420"/>
      <c r="N67" s="414"/>
      <c r="O67" s="419"/>
      <c r="P67" s="420"/>
      <c r="Q67" s="414"/>
      <c r="R67" s="419"/>
      <c r="S67" s="421"/>
      <c r="T67" s="422"/>
      <c r="U67" s="419"/>
      <c r="V67" s="420"/>
      <c r="W67" s="190"/>
      <c r="X67" s="423"/>
      <c r="Y67" s="424"/>
      <c r="Z67" s="190"/>
      <c r="AA67" s="191"/>
      <c r="AB67" s="424"/>
      <c r="AC67" s="425"/>
      <c r="AD67" s="461"/>
    </row>
    <row r="68" spans="1:30" s="554" customFormat="1" ht="24" customHeight="1">
      <c r="A68" s="553"/>
      <c r="B68" s="488"/>
      <c r="C68" s="533"/>
      <c r="D68" s="526"/>
      <c r="E68" s="399"/>
      <c r="F68" s="400"/>
      <c r="G68" s="400"/>
      <c r="H68" s="449"/>
      <c r="I68" s="435"/>
      <c r="J68" s="436"/>
      <c r="K68" s="434"/>
      <c r="L68" s="435"/>
      <c r="M68" s="436"/>
      <c r="N68" s="430"/>
      <c r="O68" s="435"/>
      <c r="P68" s="436"/>
      <c r="Q68" s="446"/>
      <c r="R68" s="435"/>
      <c r="S68" s="436"/>
      <c r="T68" s="437"/>
      <c r="U68" s="435"/>
      <c r="V68" s="192"/>
      <c r="W68" s="438"/>
      <c r="X68" s="439"/>
      <c r="Y68" s="440"/>
      <c r="Z68" s="441"/>
      <c r="AA68" s="439"/>
      <c r="AB68" s="442"/>
      <c r="AC68" s="443"/>
      <c r="AD68" s="461"/>
    </row>
    <row r="69" spans="1:30" s="554" customFormat="1" ht="24" customHeight="1">
      <c r="A69" s="553"/>
      <c r="B69" s="464"/>
      <c r="C69" s="532"/>
      <c r="D69" s="525"/>
      <c r="E69" s="536"/>
      <c r="F69" s="537"/>
      <c r="G69" s="537"/>
      <c r="H69" s="415"/>
      <c r="I69" s="419"/>
      <c r="J69" s="420"/>
      <c r="K69" s="418"/>
      <c r="L69" s="419"/>
      <c r="M69" s="420"/>
      <c r="N69" s="414"/>
      <c r="O69" s="419"/>
      <c r="P69" s="420"/>
      <c r="Q69" s="414"/>
      <c r="R69" s="419"/>
      <c r="S69" s="421"/>
      <c r="T69" s="422"/>
      <c r="U69" s="419"/>
      <c r="V69" s="420"/>
      <c r="W69" s="190"/>
      <c r="X69" s="423"/>
      <c r="Y69" s="424"/>
      <c r="Z69" s="190"/>
      <c r="AA69" s="191"/>
      <c r="AB69" s="424"/>
      <c r="AC69" s="425"/>
      <c r="AD69" s="461"/>
    </row>
    <row r="70" spans="1:30" s="554" customFormat="1" ht="24" customHeight="1">
      <c r="A70" s="553"/>
      <c r="B70" s="488"/>
      <c r="C70" s="533"/>
      <c r="D70" s="526"/>
      <c r="E70" s="399"/>
      <c r="F70" s="400"/>
      <c r="G70" s="400"/>
      <c r="H70" s="449"/>
      <c r="I70" s="435"/>
      <c r="J70" s="436"/>
      <c r="K70" s="434"/>
      <c r="L70" s="435"/>
      <c r="M70" s="436"/>
      <c r="N70" s="430"/>
      <c r="O70" s="435"/>
      <c r="P70" s="436"/>
      <c r="Q70" s="446"/>
      <c r="R70" s="435"/>
      <c r="S70" s="436"/>
      <c r="T70" s="437"/>
      <c r="U70" s="435"/>
      <c r="V70" s="192"/>
      <c r="W70" s="438"/>
      <c r="X70" s="439"/>
      <c r="Y70" s="440"/>
      <c r="Z70" s="441"/>
      <c r="AA70" s="439"/>
      <c r="AB70" s="442"/>
      <c r="AC70" s="443"/>
      <c r="AD70" s="461"/>
    </row>
    <row r="71" spans="1:30" s="554" customFormat="1" ht="24" customHeight="1">
      <c r="A71" s="553"/>
      <c r="B71" s="188"/>
      <c r="C71" s="536"/>
      <c r="D71" s="531"/>
      <c r="E71" s="536"/>
      <c r="F71" s="537"/>
      <c r="G71" s="537"/>
      <c r="H71" s="495"/>
      <c r="I71" s="193"/>
      <c r="J71" s="424"/>
      <c r="K71" s="491"/>
      <c r="L71" s="193"/>
      <c r="M71" s="424"/>
      <c r="N71" s="491"/>
      <c r="O71" s="193"/>
      <c r="P71" s="424"/>
      <c r="Q71" s="491"/>
      <c r="R71" s="193"/>
      <c r="S71" s="424"/>
      <c r="T71" s="495"/>
      <c r="U71" s="193"/>
      <c r="V71" s="424"/>
      <c r="W71" s="491"/>
      <c r="X71" s="191"/>
      <c r="Y71" s="424"/>
      <c r="Z71" s="190"/>
      <c r="AA71" s="191"/>
      <c r="AB71" s="424"/>
      <c r="AC71" s="492"/>
      <c r="AD71" s="417"/>
    </row>
    <row r="72" spans="1:30" s="554" customFormat="1" ht="24" customHeight="1">
      <c r="A72" s="553"/>
      <c r="B72" s="496"/>
      <c r="C72" s="536"/>
      <c r="D72" s="531"/>
      <c r="E72" s="536"/>
      <c r="F72" s="537"/>
      <c r="G72" s="537"/>
      <c r="H72" s="495"/>
      <c r="I72" s="193"/>
      <c r="J72" s="193"/>
      <c r="K72" s="491"/>
      <c r="L72" s="193"/>
      <c r="M72" s="193"/>
      <c r="N72" s="491"/>
      <c r="O72" s="193"/>
      <c r="P72" s="193"/>
      <c r="Q72" s="491"/>
      <c r="R72" s="193"/>
      <c r="S72" s="193"/>
      <c r="T72" s="495"/>
      <c r="U72" s="193"/>
      <c r="V72" s="193"/>
      <c r="W72" s="491"/>
      <c r="X72" s="193"/>
      <c r="Y72" s="193"/>
      <c r="Z72" s="190"/>
      <c r="AA72" s="193"/>
      <c r="AB72" s="193"/>
      <c r="AC72" s="492"/>
      <c r="AD72" s="417"/>
    </row>
    <row r="73" spans="1:30" s="554" customFormat="1" ht="24" customHeight="1" thickBot="1">
      <c r="A73" s="553"/>
      <c r="B73" s="497"/>
      <c r="C73" s="498" t="s">
        <v>333</v>
      </c>
      <c r="D73" s="498"/>
      <c r="E73" s="498" t="s">
        <v>333</v>
      </c>
      <c r="F73" s="499" t="s">
        <v>333</v>
      </c>
      <c r="G73" s="499" t="s">
        <v>333</v>
      </c>
      <c r="H73" s="500" t="s">
        <v>315</v>
      </c>
      <c r="I73" s="501"/>
      <c r="J73" s="502" t="s">
        <v>333</v>
      </c>
      <c r="K73" s="503" t="s">
        <v>334</v>
      </c>
      <c r="L73" s="501" t="s">
        <v>334</v>
      </c>
      <c r="M73" s="499" t="s">
        <v>333</v>
      </c>
      <c r="N73" s="503" t="s">
        <v>334</v>
      </c>
      <c r="O73" s="501"/>
      <c r="P73" s="499" t="s">
        <v>333</v>
      </c>
      <c r="Q73" s="503"/>
      <c r="R73" s="501" t="s">
        <v>334</v>
      </c>
      <c r="S73" s="499" t="s">
        <v>333</v>
      </c>
      <c r="T73" s="504" t="s">
        <v>334</v>
      </c>
      <c r="U73" s="501" t="s">
        <v>335</v>
      </c>
      <c r="V73" s="499" t="s">
        <v>333</v>
      </c>
      <c r="W73" s="503"/>
      <c r="X73" s="501" t="s">
        <v>334</v>
      </c>
      <c r="Y73" s="505" t="s">
        <v>76</v>
      </c>
      <c r="Z73" s="187"/>
      <c r="AA73" s="501"/>
      <c r="AB73" s="505" t="s">
        <v>77</v>
      </c>
      <c r="AC73" s="506" t="s">
        <v>3</v>
      </c>
      <c r="AD73" s="417"/>
    </row>
    <row r="74" spans="1:30" s="409" customFormat="1" ht="24" customHeight="1" thickTop="1">
      <c r="A74" s="10"/>
      <c r="B74" s="410" t="s">
        <v>317</v>
      </c>
      <c r="C74" s="190"/>
      <c r="D74" s="190" t="s">
        <v>316</v>
      </c>
      <c r="E74" s="402" t="s">
        <v>310</v>
      </c>
      <c r="F74" s="507" t="s">
        <v>311</v>
      </c>
      <c r="G74" s="507" t="s">
        <v>312</v>
      </c>
      <c r="H74" s="508" t="s">
        <v>73</v>
      </c>
      <c r="I74" s="509" t="s">
        <v>74</v>
      </c>
      <c r="J74" s="507" t="s">
        <v>313</v>
      </c>
      <c r="K74" s="438" t="s">
        <v>73</v>
      </c>
      <c r="L74" s="509" t="s">
        <v>74</v>
      </c>
      <c r="M74" s="507" t="s">
        <v>313</v>
      </c>
      <c r="N74" s="438" t="s">
        <v>73</v>
      </c>
      <c r="O74" s="509" t="s">
        <v>74</v>
      </c>
      <c r="P74" s="507" t="s">
        <v>313</v>
      </c>
      <c r="Q74" s="438" t="s">
        <v>73</v>
      </c>
      <c r="R74" s="509" t="s">
        <v>74</v>
      </c>
      <c r="S74" s="507" t="s">
        <v>313</v>
      </c>
      <c r="T74" s="508" t="s">
        <v>73</v>
      </c>
      <c r="U74" s="509" t="s">
        <v>74</v>
      </c>
      <c r="V74" s="507" t="s">
        <v>313</v>
      </c>
      <c r="W74" s="438" t="s">
        <v>73</v>
      </c>
      <c r="X74" s="509" t="s">
        <v>74</v>
      </c>
      <c r="Y74" s="507" t="s">
        <v>313</v>
      </c>
      <c r="Z74" s="438" t="s">
        <v>73</v>
      </c>
      <c r="AA74" s="509" t="s">
        <v>74</v>
      </c>
      <c r="AB74" s="507" t="s">
        <v>318</v>
      </c>
      <c r="AC74" s="510"/>
      <c r="AD74" s="493"/>
    </row>
    <row r="75" spans="1:30" s="409" customFormat="1" ht="24" customHeight="1">
      <c r="A75" s="10"/>
      <c r="B75" s="410" t="s">
        <v>319</v>
      </c>
      <c r="C75" s="411" t="s">
        <v>320</v>
      </c>
      <c r="D75" s="411" t="s">
        <v>321</v>
      </c>
      <c r="E75" s="1500" t="s">
        <v>326</v>
      </c>
      <c r="F75" s="1501"/>
      <c r="G75" s="1501"/>
      <c r="H75" s="176" t="s">
        <v>302</v>
      </c>
      <c r="I75" s="177"/>
      <c r="J75" s="178"/>
      <c r="K75" s="179" t="s">
        <v>303</v>
      </c>
      <c r="L75" s="177"/>
      <c r="M75" s="178"/>
      <c r="N75" s="180" t="s">
        <v>304</v>
      </c>
      <c r="O75" s="177"/>
      <c r="P75" s="178"/>
      <c r="Q75" s="180" t="s">
        <v>305</v>
      </c>
      <c r="R75" s="177"/>
      <c r="S75" s="178"/>
      <c r="T75" s="1502" t="s">
        <v>306</v>
      </c>
      <c r="U75" s="1503"/>
      <c r="V75" s="1503"/>
      <c r="W75" s="1503"/>
      <c r="X75" s="1503"/>
      <c r="Y75" s="1503"/>
      <c r="Z75" s="1500" t="s">
        <v>307</v>
      </c>
      <c r="AA75" s="1501"/>
      <c r="AB75" s="1501"/>
      <c r="AC75" s="181" t="s">
        <v>308</v>
      </c>
      <c r="AD75" s="493"/>
    </row>
    <row r="76" spans="1:30" s="409" customFormat="1" ht="24" customHeight="1" thickBot="1">
      <c r="A76" s="10"/>
      <c r="B76" s="511" t="s">
        <v>309</v>
      </c>
      <c r="C76" s="512"/>
      <c r="D76" s="513" t="s">
        <v>73</v>
      </c>
      <c r="E76" s="1497" t="s">
        <v>322</v>
      </c>
      <c r="F76" s="1498"/>
      <c r="G76" s="1498"/>
      <c r="H76" s="1499" t="s">
        <v>323</v>
      </c>
      <c r="I76" s="1498"/>
      <c r="J76" s="1498"/>
      <c r="K76" s="1498"/>
      <c r="L76" s="1498"/>
      <c r="M76" s="1498"/>
      <c r="N76" s="1498"/>
      <c r="O76" s="1498"/>
      <c r="P76" s="1498"/>
      <c r="Q76" s="1498"/>
      <c r="R76" s="1498"/>
      <c r="S76" s="1498"/>
      <c r="T76" s="1499" t="s">
        <v>324</v>
      </c>
      <c r="U76" s="1498"/>
      <c r="V76" s="1498"/>
      <c r="W76" s="1498"/>
      <c r="X76" s="1498"/>
      <c r="Y76" s="1498"/>
      <c r="Z76" s="1498"/>
      <c r="AA76" s="1498"/>
      <c r="AB76" s="1498"/>
      <c r="AC76" s="514"/>
      <c r="AD76" s="493"/>
    </row>
    <row r="77" spans="1:30" s="409" customFormat="1" ht="24" customHeight="1">
      <c r="A77" s="10"/>
      <c r="B77" s="1"/>
      <c r="C77" s="6"/>
      <c r="D77" s="6"/>
      <c r="E77" s="6"/>
      <c r="F77" s="6"/>
      <c r="G77" s="6"/>
      <c r="H77" s="1"/>
      <c r="I77" s="7"/>
      <c r="J77" s="8"/>
      <c r="K77" s="1"/>
      <c r="L77" s="7"/>
      <c r="M77" s="1"/>
      <c r="N77" s="1"/>
      <c r="O77" s="7"/>
      <c r="P77" s="1"/>
      <c r="Q77" s="1"/>
      <c r="R77" s="7"/>
      <c r="S77" s="1"/>
      <c r="T77" s="1"/>
      <c r="U77" s="7"/>
      <c r="V77" s="1"/>
      <c r="W77" s="1"/>
      <c r="X77" s="9"/>
      <c r="Y77" s="1"/>
      <c r="Z77" s="1"/>
      <c r="AA77" s="9"/>
      <c r="AB77" s="1"/>
      <c r="AC77" s="1"/>
      <c r="AD77" s="493"/>
    </row>
    <row r="78" spans="1:30" s="409" customFormat="1" ht="24" customHeight="1">
      <c r="A78" s="10"/>
      <c r="B78" s="1"/>
      <c r="C78" s="515"/>
      <c r="D78" s="6"/>
      <c r="E78" s="515"/>
      <c r="F78" s="6"/>
      <c r="G78" s="515"/>
      <c r="H78" s="1"/>
      <c r="I78" s="7"/>
      <c r="J78" s="516"/>
      <c r="K78" s="1"/>
      <c r="L78" s="7"/>
      <c r="M78" s="1"/>
      <c r="N78" s="517"/>
      <c r="O78" s="7"/>
      <c r="P78" s="1"/>
      <c r="Q78" s="1"/>
      <c r="R78" s="7"/>
      <c r="S78" s="1"/>
      <c r="T78" s="1"/>
      <c r="U78" s="7"/>
      <c r="V78" s="1"/>
      <c r="W78" s="1"/>
      <c r="X78" s="9"/>
      <c r="Y78" s="1"/>
      <c r="Z78" s="1"/>
      <c r="AA78" s="9"/>
      <c r="AB78" s="1"/>
      <c r="AC78" s="1"/>
      <c r="AD78" s="11"/>
    </row>
    <row r="79" spans="1:30" s="409" customFormat="1" ht="24" customHeight="1">
      <c r="A79" s="10"/>
      <c r="B79" s="1"/>
      <c r="C79" s="6"/>
      <c r="D79" s="6"/>
      <c r="E79" s="6"/>
      <c r="F79" s="6"/>
      <c r="G79" s="6"/>
      <c r="H79" s="1"/>
      <c r="I79" s="7"/>
      <c r="J79" s="8"/>
      <c r="K79" s="1"/>
      <c r="L79" s="7"/>
      <c r="M79" s="1"/>
      <c r="N79" s="1"/>
      <c r="O79" s="7"/>
      <c r="P79" s="1"/>
      <c r="Q79" s="1"/>
      <c r="R79" s="7"/>
      <c r="S79" s="1"/>
      <c r="T79" s="1"/>
      <c r="U79" s="7"/>
      <c r="V79" s="1"/>
      <c r="W79" s="1"/>
      <c r="X79" s="9"/>
      <c r="Y79" s="1"/>
      <c r="Z79" s="1"/>
      <c r="AA79" s="9"/>
      <c r="AB79" s="1"/>
      <c r="AC79" s="1"/>
      <c r="AD79" s="11"/>
    </row>
    <row r="80" spans="1:30" s="409" customFormat="1" ht="24" customHeight="1">
      <c r="A80" s="10"/>
      <c r="B80" s="1"/>
      <c r="C80" s="6"/>
      <c r="D80" s="6"/>
      <c r="E80" s="6"/>
      <c r="F80" s="6"/>
      <c r="G80" s="6"/>
      <c r="H80" s="1"/>
      <c r="I80" s="7"/>
      <c r="J80" s="8"/>
      <c r="K80" s="1"/>
      <c r="L80" s="7"/>
      <c r="M80" s="1"/>
      <c r="N80" s="1"/>
      <c r="O80" s="7"/>
      <c r="P80" s="1"/>
      <c r="Q80" s="1"/>
      <c r="R80" s="7"/>
      <c r="S80" s="1"/>
      <c r="T80" s="1"/>
      <c r="U80" s="7"/>
      <c r="V80" s="1"/>
      <c r="W80" s="1"/>
      <c r="X80" s="9"/>
      <c r="Y80" s="1"/>
      <c r="Z80" s="1"/>
      <c r="AA80" s="9"/>
      <c r="AB80" s="1"/>
      <c r="AC80" s="1"/>
      <c r="AD80" s="11"/>
    </row>
    <row r="81" spans="1:30" s="409" customFormat="1" ht="24" customHeight="1">
      <c r="A81" s="10"/>
      <c r="B81" s="1"/>
      <c r="C81" s="6"/>
      <c r="D81" s="6"/>
      <c r="E81" s="6"/>
      <c r="F81" s="6"/>
      <c r="G81" s="6"/>
      <c r="H81" s="1"/>
      <c r="I81" s="7"/>
      <c r="J81" s="8"/>
      <c r="K81" s="1"/>
      <c r="L81" s="7"/>
      <c r="M81" s="1"/>
      <c r="N81" s="1"/>
      <c r="O81" s="7"/>
      <c r="P81" s="1"/>
      <c r="Q81" s="1"/>
      <c r="R81" s="7"/>
      <c r="S81" s="1"/>
      <c r="T81" s="1"/>
      <c r="U81" s="7"/>
      <c r="V81" s="1"/>
      <c r="W81" s="1"/>
      <c r="X81" s="9"/>
      <c r="Y81" s="1"/>
      <c r="Z81" s="1"/>
      <c r="AA81" s="9"/>
      <c r="AB81" s="1"/>
      <c r="AC81" s="1"/>
      <c r="AD81" s="11"/>
    </row>
    <row r="82" spans="1:30" s="409" customFormat="1" ht="24" customHeight="1">
      <c r="A82" s="10"/>
      <c r="B82" s="1"/>
      <c r="C82" s="6"/>
      <c r="D82" s="6"/>
      <c r="E82" s="6"/>
      <c r="F82" s="6"/>
      <c r="G82" s="6"/>
      <c r="H82" s="1"/>
      <c r="I82" s="7"/>
      <c r="J82" s="8"/>
      <c r="K82" s="1"/>
      <c r="L82" s="7"/>
      <c r="M82" s="1"/>
      <c r="N82" s="1"/>
      <c r="O82" s="7"/>
      <c r="P82" s="1"/>
      <c r="Q82" s="1"/>
      <c r="R82" s="7"/>
      <c r="S82" s="1"/>
      <c r="T82" s="1"/>
      <c r="U82" s="7"/>
      <c r="V82" s="1"/>
      <c r="W82" s="1"/>
      <c r="X82" s="9"/>
      <c r="Y82" s="1"/>
      <c r="Z82" s="1"/>
      <c r="AA82" s="9"/>
      <c r="AB82" s="1"/>
      <c r="AC82" s="1"/>
      <c r="AD82" s="11"/>
    </row>
    <row r="83" spans="1:30" s="409" customFormat="1" ht="24" customHeight="1">
      <c r="A83" s="10"/>
      <c r="B83" s="403"/>
      <c r="C83" s="518"/>
      <c r="D83" s="518"/>
      <c r="E83" s="518"/>
      <c r="F83" s="518"/>
      <c r="G83" s="518"/>
      <c r="H83" s="403"/>
      <c r="I83" s="519"/>
      <c r="J83" s="520"/>
      <c r="K83" s="403"/>
      <c r="L83" s="519"/>
      <c r="M83" s="403"/>
      <c r="N83" s="403"/>
      <c r="O83" s="519"/>
      <c r="P83" s="403"/>
      <c r="Q83" s="403"/>
      <c r="R83" s="519"/>
      <c r="S83" s="403"/>
      <c r="T83" s="403"/>
      <c r="U83" s="519"/>
      <c r="V83" s="403"/>
      <c r="W83" s="403"/>
      <c r="X83" s="521"/>
      <c r="Y83" s="403"/>
      <c r="Z83" s="403"/>
      <c r="AA83" s="521"/>
      <c r="AB83" s="403"/>
      <c r="AC83" s="403"/>
      <c r="AD83" s="11"/>
    </row>
    <row r="84" spans="1:30" s="409" customFormat="1" ht="24" customHeight="1">
      <c r="A84" s="10"/>
      <c r="B84" s="403"/>
      <c r="C84" s="518"/>
      <c r="D84" s="518"/>
      <c r="E84" s="518"/>
      <c r="F84" s="518"/>
      <c r="G84" s="518"/>
      <c r="H84" s="403"/>
      <c r="I84" s="519"/>
      <c r="J84" s="520"/>
      <c r="K84" s="403"/>
      <c r="L84" s="519"/>
      <c r="M84" s="403"/>
      <c r="N84" s="403"/>
      <c r="O84" s="519"/>
      <c r="P84" s="403"/>
      <c r="Q84" s="403"/>
      <c r="R84" s="519"/>
      <c r="S84" s="403"/>
      <c r="T84" s="403"/>
      <c r="U84" s="519"/>
      <c r="V84" s="403"/>
      <c r="W84" s="403"/>
      <c r="X84" s="521"/>
      <c r="Y84" s="403"/>
      <c r="Z84" s="403"/>
      <c r="AA84" s="521"/>
      <c r="AB84" s="403"/>
      <c r="AC84" s="403"/>
      <c r="AD84" s="11"/>
    </row>
    <row r="85" spans="1:30" ht="13.5">
      <c r="A85" s="1"/>
      <c r="AD85" s="1"/>
    </row>
    <row r="86" spans="1:30" ht="13.5">
      <c r="A86" s="1"/>
      <c r="AD86" s="1"/>
    </row>
    <row r="87" spans="1:30" ht="13.5">
      <c r="A87" s="1"/>
      <c r="AD87" s="1"/>
    </row>
    <row r="88" spans="1:30" ht="13.5">
      <c r="A88" s="1"/>
      <c r="AD88" s="1"/>
    </row>
    <row r="89" spans="1:30" ht="13.5">
      <c r="A89" s="1"/>
      <c r="AD89" s="1"/>
    </row>
    <row r="90" spans="1:30" ht="13.5">
      <c r="A90" s="1"/>
      <c r="AD90" s="1"/>
    </row>
  </sheetData>
  <sheetProtection/>
  <mergeCells count="16">
    <mergeCell ref="E6:G6"/>
    <mergeCell ref="C2:AB2"/>
    <mergeCell ref="H4:I4"/>
    <mergeCell ref="L4:M4"/>
    <mergeCell ref="O4:P4"/>
    <mergeCell ref="T6:Y6"/>
    <mergeCell ref="Z6:AB6"/>
    <mergeCell ref="E5:G5"/>
    <mergeCell ref="H5:S5"/>
    <mergeCell ref="T5:AB5"/>
    <mergeCell ref="E76:G76"/>
    <mergeCell ref="H76:S76"/>
    <mergeCell ref="T76:AB76"/>
    <mergeCell ref="E75:G75"/>
    <mergeCell ref="T75:Y75"/>
    <mergeCell ref="Z75:AB75"/>
  </mergeCells>
  <printOptions verticalCentered="1"/>
  <pageMargins left="0.5905511811023623" right="0" top="0.4" bottom="0.31" header="0" footer="0"/>
  <pageSetup horizontalDpi="300" verticalDpi="3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theme="6" tint="0.39998000860214233"/>
  </sheetPr>
  <dimension ref="A1:AM84"/>
  <sheetViews>
    <sheetView tabSelected="1" view="pageBreakPreview" zoomScale="70" zoomScaleNormal="75" zoomScaleSheetLayoutView="70" zoomScalePageLayoutView="0" workbookViewId="0" topLeftCell="A1">
      <pane ySplit="8" topLeftCell="A29" activePane="bottomLeft" state="frozen"/>
      <selection pane="topLeft" activeCell="T34" sqref="T34"/>
      <selection pane="bottomLeft" activeCell="J35" sqref="J35"/>
    </sheetView>
  </sheetViews>
  <sheetFormatPr defaultColWidth="13.625" defaultRowHeight="13.5"/>
  <cols>
    <col min="1" max="1" width="7.625" style="677" customWidth="1"/>
    <col min="2" max="2" width="8.625" style="677" customWidth="1"/>
    <col min="3" max="3" width="10.125" style="755" customWidth="1"/>
    <col min="4" max="4" width="10.25390625" style="755" customWidth="1"/>
    <col min="5" max="6" width="10.125" style="677" customWidth="1"/>
    <col min="7" max="7" width="10.375" style="677" customWidth="1"/>
    <col min="8" max="8" width="6.125" style="756" customWidth="1"/>
    <col min="9" max="9" width="7.625" style="677" customWidth="1"/>
    <col min="10" max="10" width="8.125" style="677" customWidth="1"/>
    <col min="11" max="11" width="4.625" style="756" customWidth="1"/>
    <col min="12" max="12" width="7.625" style="677" customWidth="1"/>
    <col min="13" max="13" width="8.125" style="677" customWidth="1"/>
    <col min="14" max="14" width="6.625" style="756" customWidth="1"/>
    <col min="15" max="15" width="7.625" style="677" customWidth="1"/>
    <col min="16" max="16" width="7.875" style="677" customWidth="1"/>
    <col min="17" max="17" width="5.625" style="756" customWidth="1"/>
    <col min="18" max="18" width="7.625" style="677" customWidth="1"/>
    <col min="19" max="19" width="7.375" style="677" customWidth="1"/>
    <col min="20" max="20" width="4.625" style="756" customWidth="1"/>
    <col min="21" max="21" width="5.625" style="677" customWidth="1"/>
    <col min="22" max="23" width="8.125" style="756" customWidth="1"/>
    <col min="24" max="24" width="6.125" style="756" customWidth="1"/>
    <col min="25" max="25" width="3.125" style="756" customWidth="1"/>
    <col min="26" max="27" width="4.625" style="756" customWidth="1"/>
    <col min="28" max="28" width="8.625" style="677" customWidth="1"/>
    <col min="29" max="29" width="4.625" style="756" customWidth="1"/>
    <col min="30" max="30" width="7.625" style="756" customWidth="1"/>
    <col min="31" max="31" width="10.625" style="677" customWidth="1"/>
    <col min="32" max="32" width="8.625" style="677" customWidth="1"/>
    <col min="33" max="16384" width="13.625" style="677" customWidth="1"/>
  </cols>
  <sheetData>
    <row r="1" spans="1:32" ht="13.5">
      <c r="A1" s="674"/>
      <c r="B1" s="674"/>
      <c r="C1" s="675"/>
      <c r="D1" s="675"/>
      <c r="E1" s="674"/>
      <c r="F1" s="674"/>
      <c r="G1" s="674"/>
      <c r="H1" s="676"/>
      <c r="I1" s="674"/>
      <c r="J1" s="674"/>
      <c r="K1" s="676"/>
      <c r="L1" s="674"/>
      <c r="M1" s="674"/>
      <c r="N1" s="676"/>
      <c r="O1" s="674"/>
      <c r="P1" s="674"/>
      <c r="Q1" s="676"/>
      <c r="R1" s="674"/>
      <c r="S1" s="674"/>
      <c r="T1" s="676"/>
      <c r="U1" s="674"/>
      <c r="V1" s="676"/>
      <c r="W1" s="676"/>
      <c r="X1" s="676"/>
      <c r="Y1" s="676"/>
      <c r="Z1" s="676"/>
      <c r="AA1" s="676"/>
      <c r="AB1" s="674"/>
      <c r="AC1" s="676"/>
      <c r="AD1" s="676"/>
      <c r="AE1" s="674"/>
      <c r="AF1" s="674"/>
    </row>
    <row r="2" spans="1:32" s="679" customFormat="1" ht="45" customHeight="1">
      <c r="A2" s="678"/>
      <c r="B2" s="678"/>
      <c r="C2" s="1566" t="s">
        <v>70</v>
      </c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  <c r="O2" s="1566"/>
      <c r="P2" s="1566"/>
      <c r="Q2" s="1566"/>
      <c r="R2" s="1566"/>
      <c r="S2" s="1566"/>
      <c r="T2" s="1566"/>
      <c r="U2" s="1566"/>
      <c r="V2" s="1566"/>
      <c r="W2" s="1566"/>
      <c r="X2" s="1566"/>
      <c r="Y2" s="1566"/>
      <c r="Z2" s="1566"/>
      <c r="AA2" s="1566"/>
      <c r="AB2" s="1566"/>
      <c r="AC2" s="1566"/>
      <c r="AD2" s="1566"/>
      <c r="AE2" s="678"/>
      <c r="AF2" s="678"/>
    </row>
    <row r="3" spans="1:32" s="684" customFormat="1" ht="24" customHeight="1">
      <c r="A3" s="680"/>
      <c r="B3" s="681" t="s">
        <v>3</v>
      </c>
      <c r="C3" s="682"/>
      <c r="D3" s="682"/>
      <c r="E3" s="680"/>
      <c r="F3" s="680"/>
      <c r="G3" s="680"/>
      <c r="H3" s="683"/>
      <c r="I3" s="680"/>
      <c r="J3" s="680"/>
      <c r="K3" s="683"/>
      <c r="L3" s="680"/>
      <c r="M3" s="680"/>
      <c r="N3" s="683"/>
      <c r="O3" s="680"/>
      <c r="P3" s="680"/>
      <c r="Q3" s="683"/>
      <c r="R3" s="680"/>
      <c r="S3" s="680"/>
      <c r="T3" s="683"/>
      <c r="U3" s="680"/>
      <c r="V3" s="683"/>
      <c r="W3" s="683"/>
      <c r="X3" s="683"/>
      <c r="Y3" s="683"/>
      <c r="Z3" s="683"/>
      <c r="AA3" s="683"/>
      <c r="AB3" s="680"/>
      <c r="AC3" s="683"/>
      <c r="AD3" s="683"/>
      <c r="AE3" s="680"/>
      <c r="AF3" s="680"/>
    </row>
    <row r="4" spans="1:32" s="684" customFormat="1" ht="24" customHeight="1" thickBot="1">
      <c r="A4" s="680"/>
      <c r="B4" s="685"/>
      <c r="C4" s="686" t="s">
        <v>574</v>
      </c>
      <c r="D4" s="610" t="str">
        <f>'表紙１'!C2</f>
        <v>5</v>
      </c>
      <c r="E4" s="686" t="s">
        <v>348</v>
      </c>
      <c r="F4" s="687"/>
      <c r="G4" s="1577" t="str">
        <f>'表紙１'!G5</f>
        <v>多比良</v>
      </c>
      <c r="H4" s="1577"/>
      <c r="I4" s="686" t="s">
        <v>349</v>
      </c>
      <c r="J4" s="687"/>
      <c r="K4" s="579" t="s">
        <v>350</v>
      </c>
      <c r="L4" s="580" t="str">
        <f>'表紙１'!D7</f>
        <v>1</v>
      </c>
      <c r="M4" s="1555" t="s">
        <v>351</v>
      </c>
      <c r="N4" s="1555"/>
      <c r="O4" s="580" t="str">
        <f>'表紙１'!F7</f>
        <v>－</v>
      </c>
      <c r="P4" s="1574" t="s">
        <v>352</v>
      </c>
      <c r="Q4" s="1574"/>
      <c r="R4" s="685"/>
      <c r="S4" s="685"/>
      <c r="T4" s="688"/>
      <c r="U4" s="685"/>
      <c r="V4" s="688"/>
      <c r="W4" s="688"/>
      <c r="X4" s="688"/>
      <c r="Y4" s="688"/>
      <c r="Z4" s="688"/>
      <c r="AA4" s="688"/>
      <c r="AB4" s="685"/>
      <c r="AC4" s="688"/>
      <c r="AD4" s="688"/>
      <c r="AE4" s="685"/>
      <c r="AF4" s="680"/>
    </row>
    <row r="5" spans="1:32" s="684" customFormat="1" ht="24" customHeight="1">
      <c r="A5" s="680"/>
      <c r="B5" s="689" t="s">
        <v>353</v>
      </c>
      <c r="C5" s="690"/>
      <c r="D5" s="690" t="s">
        <v>331</v>
      </c>
      <c r="E5" s="1568" t="s">
        <v>388</v>
      </c>
      <c r="F5" s="1569"/>
      <c r="G5" s="1570" t="s">
        <v>389</v>
      </c>
      <c r="H5" s="1571"/>
      <c r="I5" s="1571"/>
      <c r="J5" s="1571"/>
      <c r="K5" s="1571"/>
      <c r="L5" s="1571"/>
      <c r="M5" s="1571"/>
      <c r="N5" s="1571"/>
      <c r="O5" s="1571"/>
      <c r="P5" s="1571"/>
      <c r="Q5" s="1571"/>
      <c r="R5" s="1571"/>
      <c r="S5" s="1571"/>
      <c r="T5" s="1571"/>
      <c r="U5" s="1572"/>
      <c r="V5" s="1571"/>
      <c r="W5" s="1571"/>
      <c r="X5" s="1571"/>
      <c r="Y5" s="1571"/>
      <c r="Z5" s="1571"/>
      <c r="AA5" s="1571"/>
      <c r="AB5" s="1571"/>
      <c r="AC5" s="1571"/>
      <c r="AD5" s="1571"/>
      <c r="AE5" s="1573"/>
      <c r="AF5" s="691"/>
    </row>
    <row r="6" spans="1:32" s="684" customFormat="1" ht="24" customHeight="1">
      <c r="A6" s="680"/>
      <c r="B6" s="689" t="s">
        <v>390</v>
      </c>
      <c r="C6" s="692" t="s">
        <v>391</v>
      </c>
      <c r="D6" s="692" t="s">
        <v>252</v>
      </c>
      <c r="E6" s="1553" t="s">
        <v>102</v>
      </c>
      <c r="F6" s="1554"/>
      <c r="G6" s="1543" t="s">
        <v>124</v>
      </c>
      <c r="H6" s="1544"/>
      <c r="I6" s="1545"/>
      <c r="J6" s="1546" t="s">
        <v>124</v>
      </c>
      <c r="K6" s="1544"/>
      <c r="L6" s="1545"/>
      <c r="M6" s="1546" t="s">
        <v>125</v>
      </c>
      <c r="N6" s="1544"/>
      <c r="O6" s="1545"/>
      <c r="P6" s="1546" t="s">
        <v>256</v>
      </c>
      <c r="Q6" s="1544"/>
      <c r="R6" s="1545"/>
      <c r="S6" s="1546" t="s">
        <v>126</v>
      </c>
      <c r="T6" s="1544"/>
      <c r="U6" s="1576"/>
      <c r="V6" s="1567" t="s">
        <v>339</v>
      </c>
      <c r="W6" s="1545"/>
      <c r="X6" s="1546" t="s">
        <v>392</v>
      </c>
      <c r="Y6" s="1544"/>
      <c r="Z6" s="1544"/>
      <c r="AA6" s="1545"/>
      <c r="AB6" s="1546" t="s">
        <v>393</v>
      </c>
      <c r="AC6" s="1544"/>
      <c r="AD6" s="1545"/>
      <c r="AE6" s="1564" t="s">
        <v>394</v>
      </c>
      <c r="AF6" s="691"/>
    </row>
    <row r="7" spans="1:39" s="684" customFormat="1" ht="24" customHeight="1" thickBot="1">
      <c r="A7" s="680"/>
      <c r="B7" s="693" t="s">
        <v>395</v>
      </c>
      <c r="C7" s="694"/>
      <c r="D7" s="695" t="s">
        <v>73</v>
      </c>
      <c r="E7" s="694" t="s">
        <v>71</v>
      </c>
      <c r="F7" s="696" t="s">
        <v>72</v>
      </c>
      <c r="G7" s="697" t="s">
        <v>73</v>
      </c>
      <c r="H7" s="698" t="s">
        <v>74</v>
      </c>
      <c r="I7" s="699" t="s">
        <v>396</v>
      </c>
      <c r="J7" s="694" t="s">
        <v>73</v>
      </c>
      <c r="K7" s="698" t="s">
        <v>74</v>
      </c>
      <c r="L7" s="699" t="s">
        <v>396</v>
      </c>
      <c r="M7" s="694" t="s">
        <v>73</v>
      </c>
      <c r="N7" s="698" t="s">
        <v>74</v>
      </c>
      <c r="O7" s="699" t="s">
        <v>396</v>
      </c>
      <c r="P7" s="694" t="s">
        <v>73</v>
      </c>
      <c r="Q7" s="698" t="s">
        <v>74</v>
      </c>
      <c r="R7" s="699" t="s">
        <v>396</v>
      </c>
      <c r="S7" s="694" t="s">
        <v>73</v>
      </c>
      <c r="T7" s="698" t="s">
        <v>74</v>
      </c>
      <c r="U7" s="700" t="s">
        <v>75</v>
      </c>
      <c r="V7" s="701" t="s">
        <v>397</v>
      </c>
      <c r="W7" s="702" t="s">
        <v>398</v>
      </c>
      <c r="X7" s="1578" t="s">
        <v>399</v>
      </c>
      <c r="Y7" s="1579"/>
      <c r="Z7" s="1580" t="s">
        <v>400</v>
      </c>
      <c r="AA7" s="1581"/>
      <c r="AB7" s="694" t="s">
        <v>73</v>
      </c>
      <c r="AC7" s="698" t="s">
        <v>74</v>
      </c>
      <c r="AD7" s="703" t="s">
        <v>401</v>
      </c>
      <c r="AE7" s="1565"/>
      <c r="AF7" s="11" t="s">
        <v>520</v>
      </c>
      <c r="AG7" s="409"/>
      <c r="AH7" s="865" t="s">
        <v>523</v>
      </c>
      <c r="AI7" s="409" t="s">
        <v>524</v>
      </c>
      <c r="AJ7" s="409" t="s">
        <v>521</v>
      </c>
      <c r="AK7" s="409" t="s">
        <v>522</v>
      </c>
      <c r="AL7" s="865" t="s">
        <v>525</v>
      </c>
      <c r="AM7" s="409"/>
    </row>
    <row r="8" spans="1:39" s="720" customFormat="1" ht="24" customHeight="1" thickTop="1">
      <c r="A8" s="704"/>
      <c r="B8" s="705"/>
      <c r="C8" s="706" t="s">
        <v>402</v>
      </c>
      <c r="D8" s="707"/>
      <c r="E8" s="706" t="s">
        <v>402</v>
      </c>
      <c r="F8" s="708" t="s">
        <v>402</v>
      </c>
      <c r="G8" s="709" t="s">
        <v>78</v>
      </c>
      <c r="H8" s="710"/>
      <c r="I8" s="708" t="s">
        <v>402</v>
      </c>
      <c r="J8" s="711"/>
      <c r="K8" s="710"/>
      <c r="L8" s="708" t="s">
        <v>402</v>
      </c>
      <c r="M8" s="707"/>
      <c r="N8" s="710"/>
      <c r="O8" s="708" t="s">
        <v>402</v>
      </c>
      <c r="P8" s="712"/>
      <c r="Q8" s="710"/>
      <c r="R8" s="708" t="s">
        <v>402</v>
      </c>
      <c r="S8" s="707"/>
      <c r="T8" s="710"/>
      <c r="U8" s="708" t="s">
        <v>402</v>
      </c>
      <c r="V8" s="713" t="s">
        <v>402</v>
      </c>
      <c r="W8" s="714" t="s">
        <v>402</v>
      </c>
      <c r="X8" s="582"/>
      <c r="Y8" s="715" t="s">
        <v>74</v>
      </c>
      <c r="Z8" s="710"/>
      <c r="AA8" s="715" t="s">
        <v>74</v>
      </c>
      <c r="AB8" s="716"/>
      <c r="AC8" s="717"/>
      <c r="AD8" s="718" t="s">
        <v>403</v>
      </c>
      <c r="AE8" s="719"/>
      <c r="AF8" s="461"/>
      <c r="AG8" s="554"/>
      <c r="AH8" s="554"/>
      <c r="AI8" s="554"/>
      <c r="AJ8" s="554"/>
      <c r="AK8" s="554"/>
      <c r="AL8" s="554"/>
      <c r="AM8" s="554"/>
    </row>
    <row r="9" spans="1:39" s="720" customFormat="1" ht="24" customHeight="1">
      <c r="A9" s="704"/>
      <c r="B9" s="967" t="s">
        <v>519</v>
      </c>
      <c r="C9" s="1354"/>
      <c r="D9" s="726" t="s">
        <v>448</v>
      </c>
      <c r="E9" s="779"/>
      <c r="F9" s="968"/>
      <c r="G9" s="721" t="s">
        <v>600</v>
      </c>
      <c r="H9" s="969"/>
      <c r="I9" s="970"/>
      <c r="J9" s="971"/>
      <c r="K9" s="969"/>
      <c r="L9" s="970"/>
      <c r="M9" s="972"/>
      <c r="N9" s="969"/>
      <c r="O9" s="1309"/>
      <c r="P9" s="973"/>
      <c r="Q9" s="974"/>
      <c r="R9" s="970"/>
      <c r="S9" s="975"/>
      <c r="T9" s="863"/>
      <c r="U9" s="976"/>
      <c r="V9" s="977"/>
      <c r="W9" s="978"/>
      <c r="X9" s="979"/>
      <c r="Y9" s="980"/>
      <c r="Z9" s="1523"/>
      <c r="AA9" s="1558"/>
      <c r="AB9" s="981"/>
      <c r="AC9" s="982"/>
      <c r="AD9" s="983"/>
      <c r="AE9" s="984"/>
      <c r="AF9" s="461"/>
      <c r="AG9" s="554"/>
      <c r="AH9" s="554"/>
      <c r="AI9" s="554"/>
      <c r="AJ9" s="554"/>
      <c r="AK9" s="554"/>
      <c r="AL9" s="554"/>
      <c r="AM9" s="554"/>
    </row>
    <row r="10" spans="1:39" s="720" customFormat="1" ht="24" customHeight="1">
      <c r="A10" s="704"/>
      <c r="B10" s="985" t="s">
        <v>583</v>
      </c>
      <c r="C10" s="1355">
        <v>89.9</v>
      </c>
      <c r="D10" s="727">
        <v>303</v>
      </c>
      <c r="E10" s="986">
        <f>C10-F10</f>
        <v>84.30000000000001</v>
      </c>
      <c r="F10" s="987">
        <f>I10+L10+O10+R10+U10</f>
        <v>5.6</v>
      </c>
      <c r="G10" s="723" t="s">
        <v>601</v>
      </c>
      <c r="H10" s="988">
        <v>1</v>
      </c>
      <c r="I10" s="989">
        <v>5</v>
      </c>
      <c r="J10" s="990"/>
      <c r="K10" s="988"/>
      <c r="L10" s="989"/>
      <c r="M10" s="991" t="s">
        <v>602</v>
      </c>
      <c r="N10" s="988">
        <v>1</v>
      </c>
      <c r="O10" s="992">
        <f>0.6*N10</f>
        <v>0.6</v>
      </c>
      <c r="P10" s="993"/>
      <c r="Q10" s="870"/>
      <c r="R10" s="989"/>
      <c r="S10" s="994"/>
      <c r="T10" s="988"/>
      <c r="U10" s="989"/>
      <c r="V10" s="995"/>
      <c r="W10" s="996"/>
      <c r="X10" s="997"/>
      <c r="Y10" s="998"/>
      <c r="Z10" s="1525"/>
      <c r="AA10" s="1547"/>
      <c r="AB10" s="999"/>
      <c r="AC10" s="1000"/>
      <c r="AD10" s="1001"/>
      <c r="AE10" s="1002"/>
      <c r="AF10" s="866">
        <v>0.0033333333333333335</v>
      </c>
      <c r="AG10" s="554"/>
      <c r="AH10" s="554">
        <f>C10</f>
        <v>89.9</v>
      </c>
      <c r="AI10" s="867">
        <f>AF10*AH10</f>
        <v>0.2996666666666667</v>
      </c>
      <c r="AJ10" s="554">
        <v>112</v>
      </c>
      <c r="AK10" s="554">
        <v>110</v>
      </c>
      <c r="AL10" s="554">
        <f>AJ10-AK10</f>
        <v>2</v>
      </c>
      <c r="AM10" s="554">
        <f>AL10-AI10</f>
        <v>1.7003333333333333</v>
      </c>
    </row>
    <row r="11" spans="1:39" s="720" customFormat="1" ht="24" customHeight="1">
      <c r="A11" s="704"/>
      <c r="B11" s="967" t="s">
        <v>519</v>
      </c>
      <c r="C11" s="1356"/>
      <c r="D11" s="726" t="s">
        <v>448</v>
      </c>
      <c r="E11" s="1004"/>
      <c r="F11" s="1005"/>
      <c r="G11" s="721" t="s">
        <v>600</v>
      </c>
      <c r="H11" s="969"/>
      <c r="I11" s="970"/>
      <c r="J11" s="971"/>
      <c r="K11" s="969"/>
      <c r="L11" s="970"/>
      <c r="M11" s="1036" t="s">
        <v>526</v>
      </c>
      <c r="N11" s="1010">
        <v>3</v>
      </c>
      <c r="O11" s="1318">
        <f>0.6*N11</f>
        <v>1.7999999999999998</v>
      </c>
      <c r="P11" s="973"/>
      <c r="Q11" s="974"/>
      <c r="R11" s="970"/>
      <c r="S11" s="1014" t="s">
        <v>603</v>
      </c>
      <c r="T11" s="1023"/>
      <c r="U11" s="1016"/>
      <c r="V11" s="977"/>
      <c r="W11" s="978"/>
      <c r="X11" s="979"/>
      <c r="Y11" s="1006"/>
      <c r="Z11" s="1523"/>
      <c r="AA11" s="1558"/>
      <c r="AB11" s="981"/>
      <c r="AC11" s="982"/>
      <c r="AD11" s="983"/>
      <c r="AE11" s="984"/>
      <c r="AF11" s="461"/>
      <c r="AG11" s="554"/>
      <c r="AH11" s="554"/>
      <c r="AI11" s="554"/>
      <c r="AJ11" s="554"/>
      <c r="AK11" s="554"/>
      <c r="AL11" s="554"/>
      <c r="AM11" s="554"/>
    </row>
    <row r="12" spans="1:39" s="720" customFormat="1" ht="24" customHeight="1">
      <c r="A12" s="704"/>
      <c r="B12" s="985" t="s">
        <v>595</v>
      </c>
      <c r="C12" s="1356">
        <v>62.4</v>
      </c>
      <c r="D12" s="727">
        <v>303</v>
      </c>
      <c r="E12" s="986">
        <f>C12-F12</f>
        <v>45.2</v>
      </c>
      <c r="F12" s="987">
        <f>I12+L12+O12+R12+U12+O11</f>
        <v>17.2</v>
      </c>
      <c r="G12" s="723" t="s">
        <v>601</v>
      </c>
      <c r="H12" s="988">
        <v>1</v>
      </c>
      <c r="I12" s="989">
        <v>8.8</v>
      </c>
      <c r="J12" s="971"/>
      <c r="K12" s="969"/>
      <c r="L12" s="970"/>
      <c r="M12" s="991" t="s">
        <v>602</v>
      </c>
      <c r="N12" s="988">
        <v>1</v>
      </c>
      <c r="O12" s="992">
        <f>0.6*N12</f>
        <v>0.6</v>
      </c>
      <c r="P12" s="993"/>
      <c r="Q12" s="870"/>
      <c r="R12" s="989"/>
      <c r="S12" s="994" t="s">
        <v>604</v>
      </c>
      <c r="T12" s="988">
        <v>1</v>
      </c>
      <c r="U12" s="989">
        <v>6</v>
      </c>
      <c r="V12" s="1007"/>
      <c r="W12" s="974"/>
      <c r="X12" s="1008"/>
      <c r="Y12" s="1009"/>
      <c r="Z12" s="1525"/>
      <c r="AA12" s="1547"/>
      <c r="AB12" s="981"/>
      <c r="AC12" s="982"/>
      <c r="AD12" s="983"/>
      <c r="AE12" s="984"/>
      <c r="AF12" s="866">
        <v>0.0033333333333333335</v>
      </c>
      <c r="AG12" s="554"/>
      <c r="AH12" s="554">
        <f>C12</f>
        <v>62.4</v>
      </c>
      <c r="AI12" s="867">
        <f>AF12*AH12</f>
        <v>0.20800000000000002</v>
      </c>
      <c r="AJ12" s="554">
        <v>114</v>
      </c>
      <c r="AK12" s="554">
        <v>112</v>
      </c>
      <c r="AL12" s="554">
        <f>AJ12-AK12</f>
        <v>2</v>
      </c>
      <c r="AM12" s="554">
        <f>AL12-AI12</f>
        <v>1.792</v>
      </c>
    </row>
    <row r="13" spans="1:39" s="720" customFormat="1" ht="24" customHeight="1">
      <c r="A13" s="704"/>
      <c r="B13" s="967" t="s">
        <v>519</v>
      </c>
      <c r="C13" s="1357"/>
      <c r="D13" s="726" t="s">
        <v>448</v>
      </c>
      <c r="E13" s="780"/>
      <c r="F13" s="1005"/>
      <c r="G13" s="725"/>
      <c r="H13" s="1010"/>
      <c r="I13" s="1011"/>
      <c r="J13" s="1012"/>
      <c r="K13" s="1010"/>
      <c r="L13" s="1011"/>
      <c r="M13" s="1036" t="s">
        <v>526</v>
      </c>
      <c r="N13" s="1010">
        <v>2</v>
      </c>
      <c r="O13" s="1318">
        <f>0.6*N13</f>
        <v>1.2</v>
      </c>
      <c r="P13" s="973" t="s">
        <v>527</v>
      </c>
      <c r="Q13" s="974"/>
      <c r="R13" s="970"/>
      <c r="S13" s="1014" t="s">
        <v>603</v>
      </c>
      <c r="T13" s="1023"/>
      <c r="U13" s="1016"/>
      <c r="V13" s="1017"/>
      <c r="W13" s="1018"/>
      <c r="X13" s="1019"/>
      <c r="Y13" s="1020"/>
      <c r="Z13" s="1523"/>
      <c r="AA13" s="1558"/>
      <c r="AB13" s="1021"/>
      <c r="AC13" s="1022"/>
      <c r="AD13" s="1023"/>
      <c r="AE13" s="1024"/>
      <c r="AF13" s="461"/>
      <c r="AG13" s="554"/>
      <c r="AH13" s="554"/>
      <c r="AI13" s="554"/>
      <c r="AJ13" s="554"/>
      <c r="AK13" s="554"/>
      <c r="AL13" s="554"/>
      <c r="AM13" s="554"/>
    </row>
    <row r="14" spans="1:39" s="720" customFormat="1" ht="24" customHeight="1">
      <c r="A14" s="704"/>
      <c r="B14" s="985" t="s">
        <v>596</v>
      </c>
      <c r="C14" s="1358">
        <v>120.6</v>
      </c>
      <c r="D14" s="727">
        <v>303</v>
      </c>
      <c r="E14" s="986">
        <f>C14-F14</f>
        <v>105.8</v>
      </c>
      <c r="F14" s="987">
        <f>I14+L14+O14+R14+U14+O13</f>
        <v>14.799999999999999</v>
      </c>
      <c r="G14" s="723"/>
      <c r="H14" s="988"/>
      <c r="I14" s="989"/>
      <c r="J14" s="990"/>
      <c r="K14" s="988"/>
      <c r="L14" s="989"/>
      <c r="M14" s="991" t="s">
        <v>602</v>
      </c>
      <c r="N14" s="988">
        <v>1</v>
      </c>
      <c r="O14" s="992">
        <f>0.6*N14</f>
        <v>0.6</v>
      </c>
      <c r="P14" s="993">
        <v>303</v>
      </c>
      <c r="Q14" s="870">
        <v>3</v>
      </c>
      <c r="R14" s="989">
        <v>6</v>
      </c>
      <c r="S14" s="994" t="s">
        <v>604</v>
      </c>
      <c r="T14" s="988">
        <v>1</v>
      </c>
      <c r="U14" s="989">
        <v>7</v>
      </c>
      <c r="V14" s="995"/>
      <c r="W14" s="996"/>
      <c r="X14" s="997"/>
      <c r="Y14" s="998"/>
      <c r="Z14" s="1525"/>
      <c r="AA14" s="1547"/>
      <c r="AB14" s="999"/>
      <c r="AC14" s="1000"/>
      <c r="AD14" s="1001"/>
      <c r="AE14" s="1002"/>
      <c r="AF14" s="866">
        <v>0.0033333333333333335</v>
      </c>
      <c r="AG14" s="554"/>
      <c r="AH14" s="554">
        <f>C14</f>
        <v>120.6</v>
      </c>
      <c r="AI14" s="867">
        <f>AF14*AH14</f>
        <v>0.402</v>
      </c>
      <c r="AJ14" s="554">
        <v>116.4</v>
      </c>
      <c r="AK14" s="554">
        <v>114</v>
      </c>
      <c r="AL14" s="554">
        <f>AJ14-AK14</f>
        <v>2.4000000000000057</v>
      </c>
      <c r="AM14" s="554">
        <f>AL14-AI14</f>
        <v>1.9980000000000055</v>
      </c>
    </row>
    <row r="15" spans="1:39" s="720" customFormat="1" ht="24" customHeight="1">
      <c r="A15" s="704"/>
      <c r="B15" s="967" t="s">
        <v>519</v>
      </c>
      <c r="C15" s="1356"/>
      <c r="D15" s="726" t="s">
        <v>448</v>
      </c>
      <c r="E15" s="779"/>
      <c r="F15" s="1005"/>
      <c r="G15" s="725"/>
      <c r="H15" s="1010"/>
      <c r="I15" s="1026"/>
      <c r="J15" s="971"/>
      <c r="K15" s="969"/>
      <c r="L15" s="970"/>
      <c r="M15" s="1036"/>
      <c r="N15" s="1010"/>
      <c r="O15" s="1318"/>
      <c r="P15" s="973"/>
      <c r="Q15" s="974"/>
      <c r="R15" s="970"/>
      <c r="S15" s="975"/>
      <c r="T15" s="863"/>
      <c r="U15" s="976"/>
      <c r="V15" s="977"/>
      <c r="W15" s="978"/>
      <c r="X15" s="979"/>
      <c r="Y15" s="1006"/>
      <c r="Z15" s="1523"/>
      <c r="AA15" s="1558"/>
      <c r="AB15" s="981"/>
      <c r="AC15" s="982"/>
      <c r="AD15" s="983"/>
      <c r="AE15" s="984"/>
      <c r="AF15" s="461"/>
      <c r="AG15" s="554"/>
      <c r="AH15" s="554"/>
      <c r="AI15" s="554"/>
      <c r="AJ15" s="554"/>
      <c r="AK15" s="554"/>
      <c r="AL15" s="554"/>
      <c r="AM15" s="554"/>
    </row>
    <row r="16" spans="1:39" s="720" customFormat="1" ht="24" customHeight="1">
      <c r="A16" s="704"/>
      <c r="B16" s="985" t="s">
        <v>597</v>
      </c>
      <c r="C16" s="1359">
        <v>102.6</v>
      </c>
      <c r="D16" s="727">
        <v>303</v>
      </c>
      <c r="E16" s="986">
        <f>C16-F16</f>
        <v>102</v>
      </c>
      <c r="F16" s="987">
        <f>I16+L16+O16+R16+U16</f>
        <v>0.6</v>
      </c>
      <c r="G16" s="723"/>
      <c r="H16" s="988"/>
      <c r="I16" s="1027"/>
      <c r="J16" s="971"/>
      <c r="K16" s="969"/>
      <c r="L16" s="970"/>
      <c r="M16" s="991" t="s">
        <v>526</v>
      </c>
      <c r="N16" s="988">
        <v>1</v>
      </c>
      <c r="O16" s="992">
        <f>0.6*N16</f>
        <v>0.6</v>
      </c>
      <c r="P16" s="993"/>
      <c r="Q16" s="870"/>
      <c r="R16" s="989"/>
      <c r="S16" s="975"/>
      <c r="T16" s="969"/>
      <c r="U16" s="970"/>
      <c r="V16" s="1007"/>
      <c r="W16" s="974"/>
      <c r="X16" s="1008"/>
      <c r="Y16" s="1009"/>
      <c r="Z16" s="1551"/>
      <c r="AA16" s="1552"/>
      <c r="AB16" s="981"/>
      <c r="AC16" s="982"/>
      <c r="AD16" s="983"/>
      <c r="AE16" s="984"/>
      <c r="AF16" s="866">
        <v>0.0033333333333333335</v>
      </c>
      <c r="AG16" s="554"/>
      <c r="AH16" s="554">
        <f>C16</f>
        <v>102.6</v>
      </c>
      <c r="AI16" s="867">
        <f>AF16*AH16</f>
        <v>0.342</v>
      </c>
      <c r="AJ16" s="554">
        <v>114</v>
      </c>
      <c r="AK16" s="554">
        <v>114</v>
      </c>
      <c r="AL16" s="554">
        <f>AJ16-AK16</f>
        <v>0</v>
      </c>
      <c r="AM16" s="554">
        <f>AL16-AI16</f>
        <v>-0.342</v>
      </c>
    </row>
    <row r="17" spans="1:39" s="720" customFormat="1" ht="24" customHeight="1">
      <c r="A17" s="704"/>
      <c r="B17" s="967" t="s">
        <v>519</v>
      </c>
      <c r="C17" s="1356"/>
      <c r="D17" s="726" t="s">
        <v>448</v>
      </c>
      <c r="E17" s="779"/>
      <c r="F17" s="1005"/>
      <c r="G17" s="721"/>
      <c r="H17" s="969"/>
      <c r="I17" s="970"/>
      <c r="J17" s="1012"/>
      <c r="K17" s="1010"/>
      <c r="L17" s="1011"/>
      <c r="M17" s="1013"/>
      <c r="N17" s="1010"/>
      <c r="O17" s="1011"/>
      <c r="P17" s="973"/>
      <c r="Q17" s="974"/>
      <c r="R17" s="970"/>
      <c r="S17" s="1014"/>
      <c r="T17" s="1015"/>
      <c r="U17" s="1016"/>
      <c r="V17" s="1017"/>
      <c r="W17" s="1018"/>
      <c r="X17" s="1019"/>
      <c r="Y17" s="1020"/>
      <c r="Z17" s="1521"/>
      <c r="AA17" s="1522"/>
      <c r="AB17" s="1021"/>
      <c r="AC17" s="1022"/>
      <c r="AD17" s="1023"/>
      <c r="AE17" s="1024"/>
      <c r="AF17" s="461"/>
      <c r="AG17" s="554"/>
      <c r="AH17" s="554"/>
      <c r="AI17" s="554"/>
      <c r="AJ17" s="554"/>
      <c r="AK17" s="554"/>
      <c r="AL17" s="554"/>
      <c r="AM17" s="554"/>
    </row>
    <row r="18" spans="1:39" s="720" customFormat="1" ht="24" customHeight="1">
      <c r="A18" s="704"/>
      <c r="B18" s="985" t="s">
        <v>598</v>
      </c>
      <c r="C18" s="1356">
        <v>133</v>
      </c>
      <c r="D18" s="727">
        <v>303</v>
      </c>
      <c r="E18" s="986">
        <f>C18-F18</f>
        <v>133</v>
      </c>
      <c r="F18" s="987">
        <f>I18+L18+O18+R18+U18</f>
        <v>0</v>
      </c>
      <c r="G18" s="723"/>
      <c r="H18" s="988"/>
      <c r="I18" s="989"/>
      <c r="J18" s="990"/>
      <c r="K18" s="988"/>
      <c r="L18" s="989"/>
      <c r="M18" s="991"/>
      <c r="N18" s="988"/>
      <c r="O18" s="992"/>
      <c r="P18" s="993"/>
      <c r="Q18" s="870"/>
      <c r="R18" s="989"/>
      <c r="S18" s="994"/>
      <c r="T18" s="988"/>
      <c r="U18" s="989"/>
      <c r="V18" s="995"/>
      <c r="W18" s="996"/>
      <c r="X18" s="997"/>
      <c r="Y18" s="998"/>
      <c r="Z18" s="1551"/>
      <c r="AA18" s="1552"/>
      <c r="AB18" s="999"/>
      <c r="AC18" s="1000"/>
      <c r="AD18" s="1001"/>
      <c r="AE18" s="1002"/>
      <c r="AF18" s="866">
        <v>0.0033333333333333335</v>
      </c>
      <c r="AG18" s="554"/>
      <c r="AH18" s="554">
        <f>C18</f>
        <v>133</v>
      </c>
      <c r="AI18" s="867">
        <f>AF18*AH18</f>
        <v>0.44333333333333336</v>
      </c>
      <c r="AJ18" s="554">
        <v>130</v>
      </c>
      <c r="AK18" s="554">
        <v>112</v>
      </c>
      <c r="AL18" s="554">
        <f>AJ18-AK18</f>
        <v>18</v>
      </c>
      <c r="AM18" s="554">
        <f>AL18-AI18</f>
        <v>17.556666666666665</v>
      </c>
    </row>
    <row r="19" spans="1:32" s="720" customFormat="1" ht="24" customHeight="1">
      <c r="A19" s="704"/>
      <c r="B19" s="1029"/>
      <c r="C19" s="1357"/>
      <c r="D19" s="1030"/>
      <c r="E19" s="780"/>
      <c r="F19" s="1005"/>
      <c r="G19" s="765"/>
      <c r="H19" s="1010"/>
      <c r="I19" s="1011"/>
      <c r="J19" s="1012"/>
      <c r="K19" s="1010"/>
      <c r="L19" s="1011"/>
      <c r="M19" s="1013"/>
      <c r="N19" s="1010"/>
      <c r="O19" s="1011"/>
      <c r="P19" s="1031"/>
      <c r="Q19" s="1032"/>
      <c r="R19" s="1011"/>
      <c r="S19" s="1014"/>
      <c r="T19" s="1015"/>
      <c r="U19" s="1016"/>
      <c r="V19" s="1017"/>
      <c r="W19" s="1018"/>
      <c r="X19" s="1539"/>
      <c r="Y19" s="1575"/>
      <c r="Z19" s="1521"/>
      <c r="AA19" s="1522"/>
      <c r="AB19" s="1021"/>
      <c r="AC19" s="1022"/>
      <c r="AD19" s="1023"/>
      <c r="AE19" s="1024"/>
      <c r="AF19" s="722"/>
    </row>
    <row r="20" spans="1:32" s="720" customFormat="1" ht="24" customHeight="1">
      <c r="A20" s="704"/>
      <c r="B20" s="1033"/>
      <c r="C20" s="1358" t="s">
        <v>330</v>
      </c>
      <c r="D20" s="727"/>
      <c r="E20" s="986"/>
      <c r="F20" s="987"/>
      <c r="G20" s="724"/>
      <c r="H20" s="988"/>
      <c r="I20" s="989"/>
      <c r="J20" s="990"/>
      <c r="K20" s="988"/>
      <c r="L20" s="989"/>
      <c r="M20" s="991"/>
      <c r="N20" s="988"/>
      <c r="O20" s="992"/>
      <c r="P20" s="993"/>
      <c r="Q20" s="988"/>
      <c r="R20" s="989"/>
      <c r="S20" s="994"/>
      <c r="T20" s="988"/>
      <c r="U20" s="989"/>
      <c r="V20" s="995"/>
      <c r="W20" s="996"/>
      <c r="X20" s="1527"/>
      <c r="Y20" s="1528"/>
      <c r="Z20" s="1525"/>
      <c r="AA20" s="1547"/>
      <c r="AB20" s="999"/>
      <c r="AC20" s="1000"/>
      <c r="AD20" s="1001"/>
      <c r="AE20" s="1002"/>
      <c r="AF20" s="722"/>
    </row>
    <row r="21" spans="1:32" s="720" customFormat="1" ht="24" customHeight="1">
      <c r="A21" s="704"/>
      <c r="B21" s="1029" t="s">
        <v>599</v>
      </c>
      <c r="C21" s="1354"/>
      <c r="D21" s="726" t="s">
        <v>448</v>
      </c>
      <c r="E21" s="779"/>
      <c r="F21" s="968"/>
      <c r="G21" s="725"/>
      <c r="H21" s="1010"/>
      <c r="I21" s="1011"/>
      <c r="J21" s="766"/>
      <c r="K21" s="1010"/>
      <c r="L21" s="1011"/>
      <c r="M21" s="1013"/>
      <c r="N21" s="1010"/>
      <c r="O21" s="1011"/>
      <c r="P21" s="1031"/>
      <c r="Q21" s="1032"/>
      <c r="R21" s="1011"/>
      <c r="S21" s="1014"/>
      <c r="T21" s="1015"/>
      <c r="U21" s="1016"/>
      <c r="V21" s="1017"/>
      <c r="W21" s="1018"/>
      <c r="X21" s="1019"/>
      <c r="Y21" s="1020"/>
      <c r="Z21" s="1521"/>
      <c r="AA21" s="1522"/>
      <c r="AB21" s="1021"/>
      <c r="AC21" s="1022"/>
      <c r="AD21" s="1023"/>
      <c r="AE21" s="1024"/>
      <c r="AF21" s="722"/>
    </row>
    <row r="22" spans="1:32" s="720" customFormat="1" ht="24" customHeight="1">
      <c r="A22" s="704"/>
      <c r="B22" s="985" t="s">
        <v>583</v>
      </c>
      <c r="C22" s="1355">
        <v>50.1</v>
      </c>
      <c r="D22" s="727">
        <v>303</v>
      </c>
      <c r="E22" s="986">
        <f>C22-F22</f>
        <v>50.1</v>
      </c>
      <c r="F22" s="987">
        <f>I22+L22+O22+R22+U22</f>
        <v>0</v>
      </c>
      <c r="G22" s="723"/>
      <c r="H22" s="988"/>
      <c r="I22" s="989"/>
      <c r="J22" s="1034"/>
      <c r="K22" s="988"/>
      <c r="L22" s="989"/>
      <c r="M22" s="991"/>
      <c r="N22" s="988"/>
      <c r="O22" s="992"/>
      <c r="P22" s="1035"/>
      <c r="Q22" s="988"/>
      <c r="R22" s="989"/>
      <c r="S22" s="994"/>
      <c r="T22" s="988"/>
      <c r="U22" s="989"/>
      <c r="V22" s="995"/>
      <c r="W22" s="996"/>
      <c r="X22" s="997"/>
      <c r="Y22" s="998"/>
      <c r="Z22" s="1525"/>
      <c r="AA22" s="1547"/>
      <c r="AB22" s="999"/>
      <c r="AC22" s="1000"/>
      <c r="AD22" s="1001"/>
      <c r="AE22" s="1002"/>
      <c r="AF22" s="722"/>
    </row>
    <row r="23" spans="1:32" s="720" customFormat="1" ht="24" customHeight="1">
      <c r="A23" s="704"/>
      <c r="B23" s="1360" t="s">
        <v>599</v>
      </c>
      <c r="C23" s="1354"/>
      <c r="D23" s="1361" t="s">
        <v>448</v>
      </c>
      <c r="E23" s="1362"/>
      <c r="F23" s="968"/>
      <c r="G23" s="725"/>
      <c r="H23" s="1010"/>
      <c r="I23" s="1011"/>
      <c r="J23" s="1012"/>
      <c r="K23" s="1010"/>
      <c r="L23" s="1011"/>
      <c r="M23" s="1013"/>
      <c r="N23" s="1010"/>
      <c r="O23" s="1011"/>
      <c r="P23" s="1556"/>
      <c r="Q23" s="1032"/>
      <c r="R23" s="970"/>
      <c r="S23" s="1014"/>
      <c r="T23" s="1015"/>
      <c r="U23" s="1016"/>
      <c r="V23" s="1017"/>
      <c r="W23" s="1018"/>
      <c r="X23" s="1019"/>
      <c r="Y23" s="1020"/>
      <c r="Z23" s="1521"/>
      <c r="AA23" s="1522"/>
      <c r="AB23" s="1021"/>
      <c r="AC23" s="1022"/>
      <c r="AD23" s="1023"/>
      <c r="AE23" s="1024"/>
      <c r="AF23" s="722"/>
    </row>
    <row r="24" spans="1:32" s="720" customFormat="1" ht="24" customHeight="1">
      <c r="A24" s="704"/>
      <c r="B24" s="1363">
        <v>2</v>
      </c>
      <c r="C24" s="1355">
        <v>59.1</v>
      </c>
      <c r="D24" s="1364">
        <v>303</v>
      </c>
      <c r="E24" s="1365">
        <f>C24-F24</f>
        <v>58.5</v>
      </c>
      <c r="F24" s="987">
        <f>I24+L24+O24+R24+U24</f>
        <v>0.6</v>
      </c>
      <c r="G24" s="723"/>
      <c r="H24" s="988"/>
      <c r="I24" s="989"/>
      <c r="J24" s="990"/>
      <c r="K24" s="988"/>
      <c r="L24" s="989"/>
      <c r="M24" s="991" t="s">
        <v>602</v>
      </c>
      <c r="N24" s="988">
        <v>1</v>
      </c>
      <c r="O24" s="992">
        <f>0.6*N24</f>
        <v>0.6</v>
      </c>
      <c r="P24" s="1557"/>
      <c r="Q24" s="969"/>
      <c r="R24" s="1027"/>
      <c r="S24" s="994"/>
      <c r="T24" s="988"/>
      <c r="U24" s="989"/>
      <c r="V24" s="995"/>
      <c r="W24" s="996"/>
      <c r="X24" s="997"/>
      <c r="Y24" s="998"/>
      <c r="Z24" s="1525"/>
      <c r="AA24" s="1547"/>
      <c r="AB24" s="999"/>
      <c r="AC24" s="1000"/>
      <c r="AD24" s="1001"/>
      <c r="AE24" s="1002"/>
      <c r="AF24" s="722"/>
    </row>
    <row r="25" spans="1:32" s="720" customFormat="1" ht="24" customHeight="1">
      <c r="A25" s="704"/>
      <c r="B25" s="1029" t="s">
        <v>599</v>
      </c>
      <c r="C25" s="1354"/>
      <c r="D25" s="726" t="s">
        <v>448</v>
      </c>
      <c r="E25" s="779"/>
      <c r="F25" s="968"/>
      <c r="G25" s="725"/>
      <c r="H25" s="1010"/>
      <c r="I25" s="1011"/>
      <c r="J25" s="1012"/>
      <c r="K25" s="1010"/>
      <c r="L25" s="1011"/>
      <c r="M25" s="1013"/>
      <c r="N25" s="1010"/>
      <c r="O25" s="1011"/>
      <c r="P25" s="1556"/>
      <c r="Q25" s="1032"/>
      <c r="R25" s="970"/>
      <c r="S25" s="1014"/>
      <c r="T25" s="1015"/>
      <c r="U25" s="1016"/>
      <c r="V25" s="1017"/>
      <c r="W25" s="1018"/>
      <c r="X25" s="1019"/>
      <c r="Y25" s="1020"/>
      <c r="Z25" s="1521"/>
      <c r="AA25" s="1522"/>
      <c r="AB25" s="1021"/>
      <c r="AC25" s="1022"/>
      <c r="AD25" s="1023"/>
      <c r="AE25" s="1024"/>
      <c r="AF25" s="722"/>
    </row>
    <row r="26" spans="1:32" s="720" customFormat="1" ht="24" customHeight="1">
      <c r="A26" s="704"/>
      <c r="B26" s="985">
        <v>3</v>
      </c>
      <c r="C26" s="1355">
        <v>57.1</v>
      </c>
      <c r="D26" s="727">
        <v>303</v>
      </c>
      <c r="E26" s="986">
        <f>C26-F26</f>
        <v>56.5</v>
      </c>
      <c r="F26" s="987">
        <f>I26+L26+O26+R26+U26</f>
        <v>0.6</v>
      </c>
      <c r="G26" s="723"/>
      <c r="H26" s="988"/>
      <c r="I26" s="989"/>
      <c r="J26" s="990"/>
      <c r="K26" s="988"/>
      <c r="L26" s="989"/>
      <c r="M26" s="991" t="s">
        <v>602</v>
      </c>
      <c r="N26" s="988">
        <v>1</v>
      </c>
      <c r="O26" s="992">
        <f>0.6*N26</f>
        <v>0.6</v>
      </c>
      <c r="P26" s="1557"/>
      <c r="Q26" s="969"/>
      <c r="R26" s="1027"/>
      <c r="S26" s="994"/>
      <c r="T26" s="988"/>
      <c r="U26" s="989"/>
      <c r="V26" s="995"/>
      <c r="W26" s="996"/>
      <c r="X26" s="997"/>
      <c r="Y26" s="998"/>
      <c r="Z26" s="1525"/>
      <c r="AA26" s="1547"/>
      <c r="AB26" s="999"/>
      <c r="AC26" s="1000"/>
      <c r="AD26" s="1001"/>
      <c r="AE26" s="1002"/>
      <c r="AF26" s="722"/>
    </row>
    <row r="27" spans="1:32" s="720" customFormat="1" ht="24" customHeight="1">
      <c r="A27" s="704"/>
      <c r="B27" s="1029" t="s">
        <v>599</v>
      </c>
      <c r="C27" s="1354"/>
      <c r="D27" s="726" t="s">
        <v>448</v>
      </c>
      <c r="E27" s="779"/>
      <c r="F27" s="968"/>
      <c r="G27" s="725"/>
      <c r="H27" s="1010"/>
      <c r="I27" s="1011"/>
      <c r="J27" s="1012"/>
      <c r="K27" s="1010"/>
      <c r="L27" s="1011"/>
      <c r="M27" s="1013"/>
      <c r="N27" s="1010"/>
      <c r="O27" s="1011"/>
      <c r="P27" s="1556"/>
      <c r="Q27" s="1032"/>
      <c r="R27" s="970"/>
      <c r="S27" s="1014"/>
      <c r="T27" s="1015"/>
      <c r="U27" s="1016"/>
      <c r="V27" s="1017"/>
      <c r="W27" s="1018"/>
      <c r="X27" s="1019"/>
      <c r="Y27" s="1020"/>
      <c r="Z27" s="1521"/>
      <c r="AA27" s="1522"/>
      <c r="AB27" s="1021"/>
      <c r="AC27" s="1022"/>
      <c r="AD27" s="1023"/>
      <c r="AE27" s="1024"/>
      <c r="AF27" s="722"/>
    </row>
    <row r="28" spans="1:32" s="720" customFormat="1" ht="24" customHeight="1">
      <c r="A28" s="704"/>
      <c r="B28" s="985">
        <v>4</v>
      </c>
      <c r="C28" s="1355">
        <v>55.7</v>
      </c>
      <c r="D28" s="727">
        <v>303</v>
      </c>
      <c r="E28" s="986">
        <f>C28-F28</f>
        <v>55.1</v>
      </c>
      <c r="F28" s="987">
        <f>I28+L28+O28+R28+U28</f>
        <v>0.6</v>
      </c>
      <c r="G28" s="723"/>
      <c r="H28" s="988"/>
      <c r="I28" s="989"/>
      <c r="J28" s="990"/>
      <c r="K28" s="988"/>
      <c r="L28" s="989"/>
      <c r="M28" s="991" t="s">
        <v>602</v>
      </c>
      <c r="N28" s="988">
        <v>1</v>
      </c>
      <c r="O28" s="992">
        <f>0.6*N28</f>
        <v>0.6</v>
      </c>
      <c r="P28" s="1557"/>
      <c r="Q28" s="969"/>
      <c r="R28" s="970"/>
      <c r="S28" s="994"/>
      <c r="T28" s="988"/>
      <c r="U28" s="989"/>
      <c r="V28" s="995"/>
      <c r="W28" s="996"/>
      <c r="X28" s="997"/>
      <c r="Y28" s="998"/>
      <c r="Z28" s="1525"/>
      <c r="AA28" s="1547"/>
      <c r="AB28" s="999">
        <v>300</v>
      </c>
      <c r="AC28" s="1000">
        <v>1</v>
      </c>
      <c r="AD28" s="1001">
        <v>2</v>
      </c>
      <c r="AE28" s="1002"/>
      <c r="AF28" s="722"/>
    </row>
    <row r="29" spans="1:32" s="720" customFormat="1" ht="24" customHeight="1">
      <c r="A29" s="704"/>
      <c r="B29" s="1029" t="s">
        <v>599</v>
      </c>
      <c r="C29" s="1354"/>
      <c r="D29" s="726" t="s">
        <v>448</v>
      </c>
      <c r="E29" s="779"/>
      <c r="F29" s="968"/>
      <c r="G29" s="721" t="s">
        <v>600</v>
      </c>
      <c r="H29" s="969"/>
      <c r="I29" s="970"/>
      <c r="J29" s="1012"/>
      <c r="K29" s="1010"/>
      <c r="L29" s="1011"/>
      <c r="M29" s="1036" t="s">
        <v>526</v>
      </c>
      <c r="N29" s="1010">
        <v>1</v>
      </c>
      <c r="O29" s="1318">
        <f>0.6*N29</f>
        <v>0.6</v>
      </c>
      <c r="P29" s="766"/>
      <c r="Q29" s="1010"/>
      <c r="R29" s="1011"/>
      <c r="S29" s="1014"/>
      <c r="T29" s="1023"/>
      <c r="U29" s="1016"/>
      <c r="V29" s="1017"/>
      <c r="W29" s="1018"/>
      <c r="X29" s="1019"/>
      <c r="Y29" s="1020"/>
      <c r="Z29" s="1521"/>
      <c r="AA29" s="1522"/>
      <c r="AB29" s="1021"/>
      <c r="AC29" s="1022"/>
      <c r="AD29" s="1023"/>
      <c r="AE29" s="1024"/>
      <c r="AF29" s="722"/>
    </row>
    <row r="30" spans="1:32" s="720" customFormat="1" ht="24" customHeight="1">
      <c r="A30" s="704"/>
      <c r="B30" s="985">
        <v>5</v>
      </c>
      <c r="C30" s="1355">
        <v>165.7</v>
      </c>
      <c r="D30" s="727">
        <v>303</v>
      </c>
      <c r="E30" s="986">
        <f>C30-F30</f>
        <v>156</v>
      </c>
      <c r="F30" s="987">
        <f>I30+L30+O30+R30+U30+O29</f>
        <v>9.7</v>
      </c>
      <c r="G30" s="723" t="s">
        <v>601</v>
      </c>
      <c r="H30" s="988">
        <v>1</v>
      </c>
      <c r="I30" s="989">
        <v>8.5</v>
      </c>
      <c r="J30" s="990"/>
      <c r="K30" s="988"/>
      <c r="L30" s="989"/>
      <c r="M30" s="991" t="s">
        <v>602</v>
      </c>
      <c r="N30" s="988">
        <v>1</v>
      </c>
      <c r="O30" s="992">
        <f>0.6*N30</f>
        <v>0.6</v>
      </c>
      <c r="P30" s="1040"/>
      <c r="Q30" s="988"/>
      <c r="R30" s="989"/>
      <c r="S30" s="994"/>
      <c r="T30" s="988"/>
      <c r="U30" s="989"/>
      <c r="V30" s="995"/>
      <c r="W30" s="996"/>
      <c r="X30" s="997"/>
      <c r="Y30" s="996"/>
      <c r="Z30" s="1519"/>
      <c r="AA30" s="1520"/>
      <c r="AB30" s="999">
        <v>300</v>
      </c>
      <c r="AC30" s="1000">
        <v>2</v>
      </c>
      <c r="AD30" s="1001">
        <v>14</v>
      </c>
      <c r="AE30" s="1002"/>
      <c r="AF30" s="722"/>
    </row>
    <row r="31" spans="1:32" s="720" customFormat="1" ht="24" customHeight="1">
      <c r="A31" s="704"/>
      <c r="B31" s="1029" t="s">
        <v>599</v>
      </c>
      <c r="C31" s="1354"/>
      <c r="D31" s="726" t="s">
        <v>448</v>
      </c>
      <c r="E31" s="779"/>
      <c r="F31" s="968"/>
      <c r="G31" s="721" t="s">
        <v>600</v>
      </c>
      <c r="H31" s="969"/>
      <c r="I31" s="970"/>
      <c r="J31" s="1012"/>
      <c r="K31" s="1010"/>
      <c r="L31" s="1011"/>
      <c r="M31" s="1036"/>
      <c r="N31" s="1010"/>
      <c r="O31" s="1011"/>
      <c r="P31" s="766"/>
      <c r="Q31" s="1010"/>
      <c r="R31" s="1011"/>
      <c r="S31" s="1014" t="s">
        <v>603</v>
      </c>
      <c r="T31" s="1023"/>
      <c r="U31" s="1016"/>
      <c r="V31" s="1017"/>
      <c r="W31" s="1018"/>
      <c r="X31" s="1019"/>
      <c r="Y31" s="1020"/>
      <c r="Z31" s="1521"/>
      <c r="AA31" s="1522"/>
      <c r="AB31" s="1021"/>
      <c r="AC31" s="1022"/>
      <c r="AD31" s="1023"/>
      <c r="AE31" s="1024"/>
      <c r="AF31" s="722"/>
    </row>
    <row r="32" spans="1:32" s="720" customFormat="1" ht="24" customHeight="1">
      <c r="A32" s="704"/>
      <c r="B32" s="985">
        <v>6</v>
      </c>
      <c r="C32" s="1355">
        <v>165</v>
      </c>
      <c r="D32" s="727">
        <v>303</v>
      </c>
      <c r="E32" s="986">
        <f>C32-F32</f>
        <v>147.5</v>
      </c>
      <c r="F32" s="987">
        <f>I32+L32+O32+R32+U32</f>
        <v>17.5</v>
      </c>
      <c r="G32" s="723" t="s">
        <v>601</v>
      </c>
      <c r="H32" s="988">
        <v>1</v>
      </c>
      <c r="I32" s="989">
        <v>7</v>
      </c>
      <c r="J32" s="990"/>
      <c r="K32" s="988"/>
      <c r="L32" s="989"/>
      <c r="M32" s="991" t="s">
        <v>526</v>
      </c>
      <c r="N32" s="988">
        <v>5</v>
      </c>
      <c r="O32" s="992">
        <f>0.6*N32</f>
        <v>3</v>
      </c>
      <c r="P32" s="1040"/>
      <c r="Q32" s="988"/>
      <c r="R32" s="989"/>
      <c r="S32" s="994" t="s">
        <v>604</v>
      </c>
      <c r="T32" s="988">
        <v>2</v>
      </c>
      <c r="U32" s="989">
        <v>7.5</v>
      </c>
      <c r="V32" s="995"/>
      <c r="W32" s="996"/>
      <c r="X32" s="997"/>
      <c r="Y32" s="996"/>
      <c r="Z32" s="1519"/>
      <c r="AA32" s="1520"/>
      <c r="AB32" s="999"/>
      <c r="AC32" s="1000"/>
      <c r="AD32" s="1001"/>
      <c r="AE32" s="1002"/>
      <c r="AF32" s="722"/>
    </row>
    <row r="33" spans="1:32" s="720" customFormat="1" ht="24" customHeight="1">
      <c r="A33" s="704"/>
      <c r="B33" s="1029" t="s">
        <v>599</v>
      </c>
      <c r="C33" s="1354"/>
      <c r="D33" s="726" t="s">
        <v>448</v>
      </c>
      <c r="E33" s="779"/>
      <c r="F33" s="968"/>
      <c r="G33" s="725"/>
      <c r="H33" s="1010"/>
      <c r="I33" s="1011"/>
      <c r="J33" s="1012"/>
      <c r="K33" s="1010"/>
      <c r="L33" s="1011"/>
      <c r="M33" s="1036" t="s">
        <v>526</v>
      </c>
      <c r="N33" s="1010">
        <v>2</v>
      </c>
      <c r="O33" s="1318">
        <f>0.6*N33</f>
        <v>1.2</v>
      </c>
      <c r="P33" s="766"/>
      <c r="Q33" s="1010"/>
      <c r="R33" s="1011"/>
      <c r="S33" s="1014" t="s">
        <v>603</v>
      </c>
      <c r="T33" s="1023"/>
      <c r="U33" s="1016"/>
      <c r="V33" s="1017"/>
      <c r="W33" s="1018"/>
      <c r="X33" s="1019"/>
      <c r="Y33" s="1020"/>
      <c r="Z33" s="1521"/>
      <c r="AA33" s="1522"/>
      <c r="AB33" s="1021"/>
      <c r="AC33" s="1022"/>
      <c r="AD33" s="1023"/>
      <c r="AE33" s="1024"/>
      <c r="AF33" s="722"/>
    </row>
    <row r="34" spans="1:32" s="720" customFormat="1" ht="24" customHeight="1">
      <c r="A34" s="704"/>
      <c r="B34" s="985">
        <v>7</v>
      </c>
      <c r="C34" s="1355">
        <v>82.7</v>
      </c>
      <c r="D34" s="727">
        <v>303</v>
      </c>
      <c r="E34" s="986">
        <f>C34-F34</f>
        <v>72.5</v>
      </c>
      <c r="F34" s="987">
        <f>I34+L34+O34+R34+U34+O33</f>
        <v>10.2</v>
      </c>
      <c r="G34" s="1038"/>
      <c r="H34" s="988"/>
      <c r="I34" s="989"/>
      <c r="J34" s="990"/>
      <c r="K34" s="988"/>
      <c r="L34" s="989"/>
      <c r="M34" s="991" t="s">
        <v>602</v>
      </c>
      <c r="N34" s="988">
        <v>1</v>
      </c>
      <c r="O34" s="992">
        <f>0.6*N34</f>
        <v>0.6</v>
      </c>
      <c r="P34" s="1040"/>
      <c r="Q34" s="988"/>
      <c r="R34" s="989"/>
      <c r="S34" s="994" t="s">
        <v>604</v>
      </c>
      <c r="T34" s="988">
        <v>1</v>
      </c>
      <c r="U34" s="989">
        <v>8.4</v>
      </c>
      <c r="V34" s="995"/>
      <c r="W34" s="996"/>
      <c r="X34" s="997"/>
      <c r="Y34" s="996"/>
      <c r="Z34" s="1519"/>
      <c r="AA34" s="1520"/>
      <c r="AB34" s="999">
        <v>300</v>
      </c>
      <c r="AC34" s="1000">
        <v>1</v>
      </c>
      <c r="AD34" s="1001">
        <v>4</v>
      </c>
      <c r="AE34" s="1002"/>
      <c r="AF34" s="722"/>
    </row>
    <row r="35" spans="1:32" s="720" customFormat="1" ht="24" customHeight="1">
      <c r="A35" s="704"/>
      <c r="B35" s="1029" t="s">
        <v>599</v>
      </c>
      <c r="C35" s="1354"/>
      <c r="D35" s="726" t="s">
        <v>448</v>
      </c>
      <c r="E35" s="779"/>
      <c r="F35" s="968"/>
      <c r="G35" s="721" t="s">
        <v>600</v>
      </c>
      <c r="H35" s="969"/>
      <c r="I35" s="970"/>
      <c r="J35" s="1012"/>
      <c r="K35" s="1010"/>
      <c r="L35" s="1011"/>
      <c r="M35" s="1013"/>
      <c r="N35" s="1010"/>
      <c r="O35" s="1011"/>
      <c r="P35" s="766"/>
      <c r="Q35" s="1010"/>
      <c r="R35" s="1011"/>
      <c r="S35" s="1014"/>
      <c r="T35" s="1023"/>
      <c r="U35" s="1016"/>
      <c r="V35" s="1017"/>
      <c r="W35" s="1018"/>
      <c r="X35" s="1019"/>
      <c r="Y35" s="1020"/>
      <c r="Z35" s="1521"/>
      <c r="AA35" s="1522"/>
      <c r="AB35" s="1021"/>
      <c r="AC35" s="1022"/>
      <c r="AD35" s="1023"/>
      <c r="AE35" s="1024"/>
      <c r="AF35" s="722"/>
    </row>
    <row r="36" spans="1:32" s="720" customFormat="1" ht="24" customHeight="1">
      <c r="A36" s="704"/>
      <c r="B36" s="985">
        <v>8</v>
      </c>
      <c r="C36" s="1355">
        <v>48.2</v>
      </c>
      <c r="D36" s="727">
        <v>303</v>
      </c>
      <c r="E36" s="986">
        <f>C36-F36</f>
        <v>40.400000000000006</v>
      </c>
      <c r="F36" s="987">
        <f>I36+L36+O36+R36+U36+O35</f>
        <v>7.8</v>
      </c>
      <c r="G36" s="723" t="s">
        <v>601</v>
      </c>
      <c r="H36" s="988">
        <v>1</v>
      </c>
      <c r="I36" s="989">
        <v>7.8</v>
      </c>
      <c r="J36" s="990"/>
      <c r="K36" s="988"/>
      <c r="L36" s="989"/>
      <c r="M36" s="991"/>
      <c r="N36" s="988"/>
      <c r="O36" s="992"/>
      <c r="P36" s="1040"/>
      <c r="Q36" s="988"/>
      <c r="R36" s="989"/>
      <c r="S36" s="994"/>
      <c r="T36" s="988"/>
      <c r="U36" s="989"/>
      <c r="V36" s="995"/>
      <c r="W36" s="996"/>
      <c r="X36" s="997"/>
      <c r="Y36" s="996"/>
      <c r="Z36" s="1519"/>
      <c r="AA36" s="1520"/>
      <c r="AB36" s="999"/>
      <c r="AC36" s="1000"/>
      <c r="AD36" s="1001"/>
      <c r="AE36" s="1002"/>
      <c r="AF36" s="722"/>
    </row>
    <row r="37" spans="1:32" s="720" customFormat="1" ht="24" customHeight="1">
      <c r="A37" s="704"/>
      <c r="B37" s="1029" t="s">
        <v>599</v>
      </c>
      <c r="C37" s="1354"/>
      <c r="D37" s="726" t="s">
        <v>448</v>
      </c>
      <c r="E37" s="779"/>
      <c r="F37" s="968"/>
      <c r="G37" s="725"/>
      <c r="H37" s="1010"/>
      <c r="I37" s="1011"/>
      <c r="J37" s="1012"/>
      <c r="K37" s="1010"/>
      <c r="L37" s="1011"/>
      <c r="M37" s="1036" t="s">
        <v>526</v>
      </c>
      <c r="N37" s="1010">
        <v>1</v>
      </c>
      <c r="O37" s="1318">
        <f>0.6*N37</f>
        <v>0.6</v>
      </c>
      <c r="P37" s="766"/>
      <c r="Q37" s="1010"/>
      <c r="R37" s="1011"/>
      <c r="S37" s="1014" t="s">
        <v>603</v>
      </c>
      <c r="T37" s="1023"/>
      <c r="U37" s="1016"/>
      <c r="V37" s="1017"/>
      <c r="W37" s="1018"/>
      <c r="X37" s="1019"/>
      <c r="Y37" s="1020"/>
      <c r="Z37" s="1521"/>
      <c r="AA37" s="1522"/>
      <c r="AB37" s="1021"/>
      <c r="AC37" s="1022"/>
      <c r="AD37" s="1023"/>
      <c r="AE37" s="1024"/>
      <c r="AF37" s="722"/>
    </row>
    <row r="38" spans="1:32" s="720" customFormat="1" ht="24" customHeight="1">
      <c r="A38" s="704"/>
      <c r="B38" s="985">
        <v>9</v>
      </c>
      <c r="C38" s="1355">
        <v>67.2</v>
      </c>
      <c r="D38" s="727">
        <v>303</v>
      </c>
      <c r="E38" s="986">
        <f>C38-F38</f>
        <v>55</v>
      </c>
      <c r="F38" s="987">
        <f>I38+L38+O38+R38+U38+O37</f>
        <v>12.2</v>
      </c>
      <c r="G38" s="1038"/>
      <c r="H38" s="988"/>
      <c r="I38" s="989"/>
      <c r="J38" s="990"/>
      <c r="K38" s="988"/>
      <c r="L38" s="989"/>
      <c r="M38" s="991" t="s">
        <v>602</v>
      </c>
      <c r="N38" s="988">
        <v>1</v>
      </c>
      <c r="O38" s="992">
        <f>0.6*N38</f>
        <v>0.6</v>
      </c>
      <c r="P38" s="1040"/>
      <c r="Q38" s="988"/>
      <c r="R38" s="989"/>
      <c r="S38" s="994" t="s">
        <v>604</v>
      </c>
      <c r="T38" s="988">
        <v>1</v>
      </c>
      <c r="U38" s="989">
        <v>11</v>
      </c>
      <c r="V38" s="995"/>
      <c r="W38" s="996"/>
      <c r="X38" s="997"/>
      <c r="Y38" s="996"/>
      <c r="Z38" s="1519"/>
      <c r="AA38" s="1520"/>
      <c r="AB38" s="999"/>
      <c r="AC38" s="1000"/>
      <c r="AD38" s="1001"/>
      <c r="AE38" s="1002"/>
      <c r="AF38" s="722"/>
    </row>
    <row r="39" spans="1:32" s="720" customFormat="1" ht="24" customHeight="1">
      <c r="A39" s="704"/>
      <c r="B39" s="967"/>
      <c r="C39" s="1003"/>
      <c r="D39" s="726"/>
      <c r="E39" s="779"/>
      <c r="F39" s="976"/>
      <c r="G39" s="721"/>
      <c r="H39" s="969"/>
      <c r="I39" s="970"/>
      <c r="J39" s="971"/>
      <c r="K39" s="969"/>
      <c r="L39" s="970"/>
      <c r="M39" s="972"/>
      <c r="N39" s="969"/>
      <c r="O39" s="970"/>
      <c r="P39" s="1041"/>
      <c r="Q39" s="969"/>
      <c r="R39" s="970"/>
      <c r="S39" s="975"/>
      <c r="T39" s="983"/>
      <c r="U39" s="976"/>
      <c r="V39" s="977"/>
      <c r="W39" s="1028"/>
      <c r="X39" s="979"/>
      <c r="Y39" s="1006"/>
      <c r="Z39" s="1521"/>
      <c r="AA39" s="1522"/>
      <c r="AB39" s="981"/>
      <c r="AC39" s="982"/>
      <c r="AD39" s="983"/>
      <c r="AE39" s="984"/>
      <c r="AF39" s="722"/>
    </row>
    <row r="40" spans="1:32" s="720" customFormat="1" ht="24" customHeight="1">
      <c r="A40" s="704"/>
      <c r="B40" s="1037"/>
      <c r="C40" s="1025"/>
      <c r="D40" s="727"/>
      <c r="E40" s="986"/>
      <c r="F40" s="987"/>
      <c r="G40" s="1038"/>
      <c r="H40" s="988"/>
      <c r="I40" s="989"/>
      <c r="J40" s="990"/>
      <c r="K40" s="988"/>
      <c r="L40" s="989"/>
      <c r="M40" s="1039"/>
      <c r="N40" s="988"/>
      <c r="O40" s="992"/>
      <c r="P40" s="1040"/>
      <c r="Q40" s="988"/>
      <c r="R40" s="989"/>
      <c r="S40" s="994"/>
      <c r="T40" s="988"/>
      <c r="U40" s="989"/>
      <c r="V40" s="995"/>
      <c r="W40" s="1042"/>
      <c r="X40" s="997"/>
      <c r="Y40" s="996"/>
      <c r="Z40" s="1519"/>
      <c r="AA40" s="1520"/>
      <c r="AB40" s="999"/>
      <c r="AC40" s="1000"/>
      <c r="AD40" s="1001"/>
      <c r="AE40" s="1002"/>
      <c r="AF40" s="722"/>
    </row>
    <row r="41" spans="1:32" s="720" customFormat="1" ht="24" customHeight="1">
      <c r="A41" s="704"/>
      <c r="B41" s="967"/>
      <c r="C41" s="1003"/>
      <c r="D41" s="726"/>
      <c r="E41" s="780"/>
      <c r="F41" s="976"/>
      <c r="G41" s="721"/>
      <c r="H41" s="969"/>
      <c r="I41" s="970"/>
      <c r="J41" s="971"/>
      <c r="K41" s="969"/>
      <c r="L41" s="970"/>
      <c r="M41" s="972"/>
      <c r="N41" s="969"/>
      <c r="O41" s="970"/>
      <c r="P41" s="973" t="s">
        <v>527</v>
      </c>
      <c r="Q41" s="969"/>
      <c r="R41" s="970"/>
      <c r="S41" s="1014" t="s">
        <v>603</v>
      </c>
      <c r="T41" s="983"/>
      <c r="U41" s="976"/>
      <c r="V41" s="977"/>
      <c r="W41" s="978"/>
      <c r="X41" s="979"/>
      <c r="Y41" s="1006"/>
      <c r="Z41" s="1523"/>
      <c r="AA41" s="1524"/>
      <c r="AB41" s="981"/>
      <c r="AC41" s="982"/>
      <c r="AD41" s="983"/>
      <c r="AE41" s="984"/>
      <c r="AF41" s="722"/>
    </row>
    <row r="42" spans="1:32" s="720" customFormat="1" ht="24" customHeight="1">
      <c r="A42" s="704"/>
      <c r="B42" s="1037" t="s">
        <v>285</v>
      </c>
      <c r="C42" s="1025">
        <f>SUM(C9:C38)</f>
        <v>1259.3000000000002</v>
      </c>
      <c r="D42" s="727"/>
      <c r="E42" s="1025">
        <f>SUM(E8:E38)</f>
        <v>1161.9</v>
      </c>
      <c r="F42" s="1043">
        <f>SUM(F9:F38)</f>
        <v>97.4</v>
      </c>
      <c r="G42" s="1038"/>
      <c r="H42" s="1044">
        <f>SUM(H9:H38)</f>
        <v>5</v>
      </c>
      <c r="I42" s="1043">
        <f>SUM(I9:I38)</f>
        <v>37.1</v>
      </c>
      <c r="J42" s="990"/>
      <c r="K42" s="1044">
        <f>SUM(K9:K41)</f>
        <v>0</v>
      </c>
      <c r="L42" s="1043">
        <f>SUM(L9:L41)</f>
        <v>0</v>
      </c>
      <c r="M42" s="1039"/>
      <c r="N42" s="1044">
        <f>SUM(N9:N38)</f>
        <v>24</v>
      </c>
      <c r="O42" s="1043">
        <f>SUM(O9:O38)</f>
        <v>14.399999999999997</v>
      </c>
      <c r="P42" s="993">
        <v>303</v>
      </c>
      <c r="Q42" s="1044">
        <f>SUM(Q8:Q38)</f>
        <v>3</v>
      </c>
      <c r="R42" s="1043">
        <f>SUM(R8:R38)</f>
        <v>6</v>
      </c>
      <c r="S42" s="994" t="s">
        <v>604</v>
      </c>
      <c r="T42" s="1044">
        <f>SUM(T8:T38)</f>
        <v>6</v>
      </c>
      <c r="U42" s="1043">
        <f>SUM(U8:U38)</f>
        <v>39.9</v>
      </c>
      <c r="V42" s="1045"/>
      <c r="W42" s="1315"/>
      <c r="X42" s="1527"/>
      <c r="Y42" s="1528"/>
      <c r="Z42" s="1525"/>
      <c r="AA42" s="1526"/>
      <c r="AB42" s="999">
        <v>300</v>
      </c>
      <c r="AC42" s="1316">
        <f>SUM(AC9:AC41)</f>
        <v>4</v>
      </c>
      <c r="AD42" s="1316">
        <f>SUM(AD9:AD41)</f>
        <v>20</v>
      </c>
      <c r="AE42" s="1317"/>
      <c r="AF42" s="722"/>
    </row>
    <row r="43" spans="1:32" s="720" customFormat="1" ht="24" customHeight="1">
      <c r="A43" s="704"/>
      <c r="B43" s="967"/>
      <c r="C43" s="1003"/>
      <c r="D43" s="726"/>
      <c r="E43" s="779"/>
      <c r="F43" s="976"/>
      <c r="G43" s="721"/>
      <c r="H43" s="969"/>
      <c r="I43" s="970"/>
      <c r="J43" s="971"/>
      <c r="K43" s="969"/>
      <c r="L43" s="970"/>
      <c r="M43" s="972"/>
      <c r="N43" s="969"/>
      <c r="O43" s="1046"/>
      <c r="P43" s="1047"/>
      <c r="Q43" s="969"/>
      <c r="R43" s="970"/>
      <c r="S43" s="975"/>
      <c r="T43" s="983"/>
      <c r="U43" s="976"/>
      <c r="V43" s="1017"/>
      <c r="W43" s="1018"/>
      <c r="X43" s="1019"/>
      <c r="Y43" s="1020"/>
      <c r="Z43" s="1521"/>
      <c r="AA43" s="1522"/>
      <c r="AB43" s="981"/>
      <c r="AC43" s="982"/>
      <c r="AD43" s="983"/>
      <c r="AE43" s="984"/>
      <c r="AF43" s="722"/>
    </row>
    <row r="44" spans="1:32" s="720" customFormat="1" ht="24" customHeight="1">
      <c r="A44" s="704"/>
      <c r="B44" s="1037"/>
      <c r="C44" s="1025"/>
      <c r="D44" s="1048"/>
      <c r="E44" s="986"/>
      <c r="F44" s="987"/>
      <c r="G44" s="1038"/>
      <c r="H44" s="988"/>
      <c r="I44" s="989"/>
      <c r="J44" s="990"/>
      <c r="K44" s="988"/>
      <c r="L44" s="989"/>
      <c r="M44" s="1039"/>
      <c r="N44" s="988"/>
      <c r="O44" s="1049"/>
      <c r="P44" s="1050"/>
      <c r="Q44" s="1051"/>
      <c r="R44" s="989"/>
      <c r="S44" s="994"/>
      <c r="T44" s="988"/>
      <c r="U44" s="989"/>
      <c r="V44" s="995"/>
      <c r="W44" s="996"/>
      <c r="X44" s="997"/>
      <c r="Y44" s="996"/>
      <c r="Z44" s="1519"/>
      <c r="AA44" s="1520"/>
      <c r="AB44" s="999"/>
      <c r="AC44" s="1000"/>
      <c r="AD44" s="1001"/>
      <c r="AE44" s="1002"/>
      <c r="AF44" s="722"/>
    </row>
    <row r="45" spans="1:32" s="720" customFormat="1" ht="24" customHeight="1">
      <c r="A45" s="704"/>
      <c r="B45" s="967" t="s">
        <v>692</v>
      </c>
      <c r="C45" s="1003"/>
      <c r="D45" s="726"/>
      <c r="E45" s="779"/>
      <c r="F45" s="976"/>
      <c r="G45" s="721"/>
      <c r="H45" s="969"/>
      <c r="I45" s="970"/>
      <c r="J45" s="971"/>
      <c r="K45" s="969"/>
      <c r="L45" s="970"/>
      <c r="M45" s="972"/>
      <c r="N45" s="969"/>
      <c r="O45" s="970"/>
      <c r="P45" s="1041"/>
      <c r="Q45" s="969"/>
      <c r="R45" s="970"/>
      <c r="S45" s="975"/>
      <c r="T45" s="983"/>
      <c r="U45" s="976"/>
      <c r="V45" s="1017"/>
      <c r="W45" s="1018"/>
      <c r="X45" s="1019"/>
      <c r="Y45" s="1020"/>
      <c r="Z45" s="1521"/>
      <c r="AA45" s="1522"/>
      <c r="AB45" s="1021"/>
      <c r="AC45" s="1022"/>
      <c r="AD45" s="1023"/>
      <c r="AE45" s="984"/>
      <c r="AF45" s="722"/>
    </row>
    <row r="46" spans="1:32" s="720" customFormat="1" ht="24" customHeight="1">
      <c r="A46" s="704"/>
      <c r="B46" s="1037" t="s">
        <v>583</v>
      </c>
      <c r="C46" s="1025"/>
      <c r="D46" s="727"/>
      <c r="E46" s="986"/>
      <c r="F46" s="987"/>
      <c r="G46" s="1038"/>
      <c r="H46" s="988"/>
      <c r="I46" s="989"/>
      <c r="J46" s="990"/>
      <c r="K46" s="988"/>
      <c r="L46" s="989"/>
      <c r="M46" s="1039"/>
      <c r="N46" s="988"/>
      <c r="O46" s="992"/>
      <c r="P46" s="1040"/>
      <c r="Q46" s="988"/>
      <c r="R46" s="989"/>
      <c r="S46" s="994"/>
      <c r="T46" s="988"/>
      <c r="U46" s="989"/>
      <c r="V46" s="995"/>
      <c r="W46" s="996"/>
      <c r="X46" s="997"/>
      <c r="Y46" s="996"/>
      <c r="Z46" s="1519"/>
      <c r="AA46" s="1520"/>
      <c r="AB46" s="999">
        <v>300</v>
      </c>
      <c r="AC46" s="1000">
        <v>1</v>
      </c>
      <c r="AD46" s="1001">
        <v>7</v>
      </c>
      <c r="AE46" s="1002"/>
      <c r="AF46" s="722"/>
    </row>
    <row r="47" spans="1:32" s="720" customFormat="1" ht="24" customHeight="1">
      <c r="A47" s="704"/>
      <c r="B47" s="967" t="s">
        <v>692</v>
      </c>
      <c r="C47" s="1003"/>
      <c r="D47" s="726"/>
      <c r="E47" s="779"/>
      <c r="F47" s="976"/>
      <c r="G47" s="721"/>
      <c r="H47" s="969"/>
      <c r="I47" s="970"/>
      <c r="J47" s="971"/>
      <c r="K47" s="969"/>
      <c r="L47" s="970"/>
      <c r="M47" s="972"/>
      <c r="N47" s="969"/>
      <c r="O47" s="970"/>
      <c r="P47" s="1041"/>
      <c r="Q47" s="969"/>
      <c r="R47" s="970"/>
      <c r="S47" s="975"/>
      <c r="T47" s="983"/>
      <c r="U47" s="976"/>
      <c r="V47" s="1017"/>
      <c r="W47" s="1018"/>
      <c r="X47" s="1019"/>
      <c r="Y47" s="1020"/>
      <c r="Z47" s="1521"/>
      <c r="AA47" s="1522"/>
      <c r="AB47" s="981"/>
      <c r="AC47" s="982"/>
      <c r="AD47" s="983"/>
      <c r="AE47" s="984"/>
      <c r="AF47" s="722"/>
    </row>
    <row r="48" spans="1:32" s="720" customFormat="1" ht="24" customHeight="1">
      <c r="A48" s="704"/>
      <c r="B48" s="1037" t="s">
        <v>693</v>
      </c>
      <c r="C48" s="1025"/>
      <c r="D48" s="727"/>
      <c r="E48" s="986"/>
      <c r="F48" s="987"/>
      <c r="G48" s="1038"/>
      <c r="H48" s="988"/>
      <c r="I48" s="989"/>
      <c r="J48" s="990"/>
      <c r="K48" s="988"/>
      <c r="L48" s="989"/>
      <c r="M48" s="1039"/>
      <c r="N48" s="988"/>
      <c r="O48" s="992"/>
      <c r="P48" s="1040"/>
      <c r="Q48" s="988"/>
      <c r="R48" s="989"/>
      <c r="S48" s="994"/>
      <c r="T48" s="988"/>
      <c r="U48" s="989"/>
      <c r="V48" s="995"/>
      <c r="W48" s="996"/>
      <c r="X48" s="997"/>
      <c r="Y48" s="996"/>
      <c r="Z48" s="1519"/>
      <c r="AA48" s="1520"/>
      <c r="AB48" s="999">
        <v>300</v>
      </c>
      <c r="AC48" s="1000">
        <v>1</v>
      </c>
      <c r="AD48" s="1001">
        <v>7</v>
      </c>
      <c r="AE48" s="1002"/>
      <c r="AF48" s="722"/>
    </row>
    <row r="49" spans="1:32" s="720" customFormat="1" ht="24" customHeight="1">
      <c r="A49" s="704"/>
      <c r="B49" s="967" t="s">
        <v>692</v>
      </c>
      <c r="C49" s="1003"/>
      <c r="D49" s="726"/>
      <c r="E49" s="779"/>
      <c r="F49" s="976"/>
      <c r="G49" s="721"/>
      <c r="H49" s="969"/>
      <c r="I49" s="970"/>
      <c r="J49" s="971"/>
      <c r="K49" s="969"/>
      <c r="L49" s="970"/>
      <c r="M49" s="1036"/>
      <c r="N49" s="969"/>
      <c r="O49" s="970"/>
      <c r="P49" s="1041"/>
      <c r="Q49" s="969"/>
      <c r="R49" s="970"/>
      <c r="S49" s="975"/>
      <c r="T49" s="983"/>
      <c r="U49" s="976"/>
      <c r="V49" s="1017"/>
      <c r="W49" s="1018"/>
      <c r="X49" s="1019"/>
      <c r="Y49" s="1020"/>
      <c r="Z49" s="1521"/>
      <c r="AA49" s="1522"/>
      <c r="AB49" s="981"/>
      <c r="AC49" s="982"/>
      <c r="AD49" s="983"/>
      <c r="AE49" s="984"/>
      <c r="AF49" s="722"/>
    </row>
    <row r="50" spans="1:32" s="720" customFormat="1" ht="24" customHeight="1">
      <c r="A50" s="704"/>
      <c r="B50" s="1037" t="s">
        <v>694</v>
      </c>
      <c r="C50" s="1025"/>
      <c r="D50" s="727"/>
      <c r="E50" s="986"/>
      <c r="F50" s="987"/>
      <c r="G50" s="1038"/>
      <c r="H50" s="988"/>
      <c r="I50" s="989"/>
      <c r="J50" s="990"/>
      <c r="K50" s="988"/>
      <c r="L50" s="989"/>
      <c r="M50" s="1039"/>
      <c r="N50" s="988"/>
      <c r="O50" s="992"/>
      <c r="P50" s="1040"/>
      <c r="Q50" s="988"/>
      <c r="R50" s="989"/>
      <c r="S50" s="994"/>
      <c r="T50" s="988"/>
      <c r="U50" s="989"/>
      <c r="V50" s="995"/>
      <c r="W50" s="996"/>
      <c r="X50" s="997"/>
      <c r="Y50" s="996"/>
      <c r="Z50" s="1519"/>
      <c r="AA50" s="1520"/>
      <c r="AB50" s="999">
        <v>300</v>
      </c>
      <c r="AC50" s="1000">
        <v>1</v>
      </c>
      <c r="AD50" s="1001">
        <v>7</v>
      </c>
      <c r="AE50" s="1002"/>
      <c r="AF50" s="722"/>
    </row>
    <row r="51" spans="1:32" s="720" customFormat="1" ht="24" customHeight="1">
      <c r="A51" s="704"/>
      <c r="B51" s="967" t="s">
        <v>692</v>
      </c>
      <c r="C51" s="1003"/>
      <c r="D51" s="726"/>
      <c r="E51" s="779"/>
      <c r="F51" s="976"/>
      <c r="G51" s="721"/>
      <c r="H51" s="969"/>
      <c r="I51" s="970"/>
      <c r="J51" s="971"/>
      <c r="K51" s="969"/>
      <c r="L51" s="970"/>
      <c r="M51" s="972"/>
      <c r="N51" s="969"/>
      <c r="O51" s="970"/>
      <c r="P51" s="1041"/>
      <c r="Q51" s="969"/>
      <c r="R51" s="970"/>
      <c r="S51" s="975"/>
      <c r="T51" s="983"/>
      <c r="U51" s="976"/>
      <c r="V51" s="977"/>
      <c r="W51" s="978"/>
      <c r="X51" s="979"/>
      <c r="Y51" s="1006"/>
      <c r="Z51" s="1523"/>
      <c r="AA51" s="1524"/>
      <c r="AB51" s="981"/>
      <c r="AC51" s="982"/>
      <c r="AD51" s="983"/>
      <c r="AE51" s="984"/>
      <c r="AF51" s="722"/>
    </row>
    <row r="52" spans="1:32" s="720" customFormat="1" ht="24" customHeight="1">
      <c r="A52" s="704"/>
      <c r="B52" s="1037" t="s">
        <v>695</v>
      </c>
      <c r="C52" s="1025"/>
      <c r="D52" s="727"/>
      <c r="E52" s="986"/>
      <c r="F52" s="987"/>
      <c r="G52" s="1038"/>
      <c r="H52" s="988"/>
      <c r="I52" s="989"/>
      <c r="J52" s="990"/>
      <c r="K52" s="988"/>
      <c r="L52" s="989"/>
      <c r="M52" s="1039"/>
      <c r="N52" s="988"/>
      <c r="O52" s="992"/>
      <c r="P52" s="1040"/>
      <c r="Q52" s="988"/>
      <c r="R52" s="989"/>
      <c r="S52" s="994"/>
      <c r="T52" s="988"/>
      <c r="U52" s="989"/>
      <c r="V52" s="995"/>
      <c r="W52" s="996"/>
      <c r="X52" s="997"/>
      <c r="Y52" s="996"/>
      <c r="Z52" s="1519"/>
      <c r="AA52" s="1582"/>
      <c r="AB52" s="999">
        <v>300</v>
      </c>
      <c r="AC52" s="1000">
        <v>1</v>
      </c>
      <c r="AD52" s="1001">
        <v>7</v>
      </c>
      <c r="AE52" s="1002"/>
      <c r="AF52" s="722"/>
    </row>
    <row r="53" spans="1:32" s="720" customFormat="1" ht="24" customHeight="1">
      <c r="A53" s="704"/>
      <c r="B53" s="967" t="s">
        <v>692</v>
      </c>
      <c r="C53" s="1003"/>
      <c r="D53" s="726"/>
      <c r="E53" s="779"/>
      <c r="F53" s="976"/>
      <c r="G53" s="721"/>
      <c r="H53" s="969"/>
      <c r="I53" s="970"/>
      <c r="J53" s="971"/>
      <c r="K53" s="969"/>
      <c r="L53" s="970"/>
      <c r="M53" s="972"/>
      <c r="N53" s="969"/>
      <c r="O53" s="970"/>
      <c r="P53" s="1041"/>
      <c r="Q53" s="969"/>
      <c r="R53" s="970"/>
      <c r="S53" s="975"/>
      <c r="T53" s="983"/>
      <c r="U53" s="976"/>
      <c r="V53" s="977"/>
      <c r="W53" s="978"/>
      <c r="X53" s="979"/>
      <c r="Y53" s="1006"/>
      <c r="Z53" s="1523"/>
      <c r="AA53" s="1524"/>
      <c r="AB53" s="981"/>
      <c r="AC53" s="982"/>
      <c r="AD53" s="983"/>
      <c r="AE53" s="984"/>
      <c r="AF53" s="722"/>
    </row>
    <row r="54" spans="1:32" s="720" customFormat="1" ht="24" customHeight="1">
      <c r="A54" s="704"/>
      <c r="B54" s="1037" t="s">
        <v>696</v>
      </c>
      <c r="C54" s="1025"/>
      <c r="D54" s="727"/>
      <c r="E54" s="986"/>
      <c r="F54" s="987"/>
      <c r="G54" s="1038"/>
      <c r="H54" s="988"/>
      <c r="I54" s="989"/>
      <c r="J54" s="990"/>
      <c r="K54" s="988"/>
      <c r="L54" s="989"/>
      <c r="M54" s="1039"/>
      <c r="N54" s="988"/>
      <c r="O54" s="992"/>
      <c r="P54" s="1040"/>
      <c r="Q54" s="988"/>
      <c r="R54" s="989"/>
      <c r="S54" s="994"/>
      <c r="T54" s="988"/>
      <c r="U54" s="989"/>
      <c r="V54" s="995"/>
      <c r="W54" s="996"/>
      <c r="X54" s="997"/>
      <c r="Y54" s="996"/>
      <c r="Z54" s="1519"/>
      <c r="AA54" s="1582"/>
      <c r="AB54" s="999">
        <v>300</v>
      </c>
      <c r="AC54" s="1000">
        <v>1</v>
      </c>
      <c r="AD54" s="1001">
        <v>7</v>
      </c>
      <c r="AE54" s="1002"/>
      <c r="AF54" s="722"/>
    </row>
    <row r="55" spans="1:32" s="720" customFormat="1" ht="24" customHeight="1">
      <c r="A55" s="704"/>
      <c r="B55" s="967" t="s">
        <v>692</v>
      </c>
      <c r="C55" s="1003"/>
      <c r="D55" s="726"/>
      <c r="E55" s="779"/>
      <c r="F55" s="976"/>
      <c r="G55" s="721"/>
      <c r="H55" s="969"/>
      <c r="I55" s="970"/>
      <c r="J55" s="971"/>
      <c r="K55" s="969"/>
      <c r="L55" s="970"/>
      <c r="M55" s="972"/>
      <c r="N55" s="969"/>
      <c r="O55" s="970"/>
      <c r="P55" s="1041"/>
      <c r="Q55" s="969"/>
      <c r="R55" s="970"/>
      <c r="S55" s="975"/>
      <c r="T55" s="983"/>
      <c r="U55" s="976"/>
      <c r="V55" s="977"/>
      <c r="W55" s="978"/>
      <c r="X55" s="979"/>
      <c r="Y55" s="1006"/>
      <c r="Z55" s="1523"/>
      <c r="AA55" s="1524"/>
      <c r="AB55" s="981"/>
      <c r="AC55" s="982"/>
      <c r="AD55" s="983"/>
      <c r="AE55" s="984"/>
      <c r="AF55" s="722"/>
    </row>
    <row r="56" spans="1:32" s="720" customFormat="1" ht="24" customHeight="1">
      <c r="A56" s="704"/>
      <c r="B56" s="1037" t="s">
        <v>697</v>
      </c>
      <c r="C56" s="1025"/>
      <c r="D56" s="727"/>
      <c r="E56" s="986"/>
      <c r="F56" s="987"/>
      <c r="G56" s="1038"/>
      <c r="H56" s="988"/>
      <c r="I56" s="989"/>
      <c r="J56" s="990"/>
      <c r="K56" s="988"/>
      <c r="L56" s="989"/>
      <c r="M56" s="1039"/>
      <c r="N56" s="988"/>
      <c r="O56" s="992"/>
      <c r="P56" s="1040"/>
      <c r="Q56" s="988"/>
      <c r="R56" s="989"/>
      <c r="S56" s="994"/>
      <c r="T56" s="988"/>
      <c r="U56" s="989"/>
      <c r="V56" s="995"/>
      <c r="W56" s="996"/>
      <c r="X56" s="997"/>
      <c r="Y56" s="996"/>
      <c r="Z56" s="1519"/>
      <c r="AA56" s="1582"/>
      <c r="AB56" s="999">
        <v>300</v>
      </c>
      <c r="AC56" s="1000">
        <v>1</v>
      </c>
      <c r="AD56" s="1001">
        <v>7</v>
      </c>
      <c r="AE56" s="1002"/>
      <c r="AF56" s="722"/>
    </row>
    <row r="57" spans="1:32" s="720" customFormat="1" ht="24" customHeight="1">
      <c r="A57" s="704"/>
      <c r="B57" s="967"/>
      <c r="C57" s="1003"/>
      <c r="D57" s="726"/>
      <c r="E57" s="779"/>
      <c r="F57" s="976"/>
      <c r="G57" s="721"/>
      <c r="H57" s="969"/>
      <c r="I57" s="970"/>
      <c r="J57" s="971"/>
      <c r="K57" s="969"/>
      <c r="L57" s="970"/>
      <c r="M57" s="972"/>
      <c r="N57" s="1313"/>
      <c r="O57" s="1311"/>
      <c r="P57" s="973"/>
      <c r="Q57" s="969"/>
      <c r="R57" s="970"/>
      <c r="S57" s="975"/>
      <c r="T57" s="983"/>
      <c r="U57" s="976"/>
      <c r="V57" s="977"/>
      <c r="W57" s="978"/>
      <c r="X57" s="979"/>
      <c r="Y57" s="1006"/>
      <c r="Z57" s="1541"/>
      <c r="AA57" s="1542"/>
      <c r="AB57" s="981"/>
      <c r="AC57" s="982"/>
      <c r="AD57" s="983"/>
      <c r="AE57" s="984"/>
      <c r="AF57" s="722"/>
    </row>
    <row r="58" spans="1:32" s="720" customFormat="1" ht="24" customHeight="1">
      <c r="A58" s="704"/>
      <c r="B58" s="1037" t="s">
        <v>285</v>
      </c>
      <c r="C58" s="1025"/>
      <c r="D58" s="727"/>
      <c r="E58" s="986"/>
      <c r="F58" s="987"/>
      <c r="G58" s="728"/>
      <c r="H58" s="988"/>
      <c r="I58" s="989"/>
      <c r="J58" s="990"/>
      <c r="K58" s="988"/>
      <c r="L58" s="989"/>
      <c r="M58" s="991"/>
      <c r="N58" s="1312"/>
      <c r="O58" s="1310"/>
      <c r="P58" s="1035"/>
      <c r="Q58" s="988"/>
      <c r="R58" s="1054"/>
      <c r="S58" s="994"/>
      <c r="T58" s="988"/>
      <c r="U58" s="989"/>
      <c r="V58" s="995"/>
      <c r="W58" s="996"/>
      <c r="X58" s="997"/>
      <c r="Y58" s="996"/>
      <c r="Z58" s="1525"/>
      <c r="AA58" s="1526"/>
      <c r="AB58" s="999">
        <v>300</v>
      </c>
      <c r="AC58" s="1000">
        <f>SUM(AC45:AC56)</f>
        <v>6</v>
      </c>
      <c r="AD58" s="1000">
        <f>SUM(AD45:AD56)</f>
        <v>42</v>
      </c>
      <c r="AE58" s="1002"/>
      <c r="AF58" s="722"/>
    </row>
    <row r="59" spans="1:32" s="720" customFormat="1" ht="24" customHeight="1">
      <c r="A59" s="704"/>
      <c r="B59" s="967"/>
      <c r="C59" s="1003"/>
      <c r="D59" s="726"/>
      <c r="E59" s="779"/>
      <c r="F59" s="976"/>
      <c r="G59" s="721"/>
      <c r="H59" s="969"/>
      <c r="I59" s="970"/>
      <c r="J59" s="971"/>
      <c r="K59" s="969"/>
      <c r="L59" s="970"/>
      <c r="M59" s="972"/>
      <c r="N59" s="969"/>
      <c r="O59" s="970"/>
      <c r="P59" s="1041"/>
      <c r="Q59" s="969"/>
      <c r="R59" s="970"/>
      <c r="S59" s="975"/>
      <c r="T59" s="983"/>
      <c r="U59" s="976"/>
      <c r="V59" s="977"/>
      <c r="W59" s="978"/>
      <c r="X59" s="979"/>
      <c r="Y59" s="1006"/>
      <c r="Z59" s="1523"/>
      <c r="AA59" s="1524"/>
      <c r="AB59" s="981"/>
      <c r="AC59" s="982"/>
      <c r="AD59" s="983"/>
      <c r="AE59" s="984"/>
      <c r="AF59" s="722"/>
    </row>
    <row r="60" spans="1:32" s="720" customFormat="1" ht="24" customHeight="1">
      <c r="A60" s="704"/>
      <c r="B60" s="1037"/>
      <c r="C60" s="1025"/>
      <c r="D60" s="727"/>
      <c r="E60" s="986"/>
      <c r="F60" s="987"/>
      <c r="G60" s="1038"/>
      <c r="H60" s="988"/>
      <c r="I60" s="989"/>
      <c r="J60" s="990"/>
      <c r="K60" s="988"/>
      <c r="L60" s="989"/>
      <c r="M60" s="1039"/>
      <c r="N60" s="988"/>
      <c r="O60" s="992"/>
      <c r="P60" s="1040"/>
      <c r="Q60" s="988"/>
      <c r="R60" s="989"/>
      <c r="S60" s="994"/>
      <c r="T60" s="988"/>
      <c r="U60" s="989"/>
      <c r="V60" s="995"/>
      <c r="W60" s="996"/>
      <c r="X60" s="997"/>
      <c r="Y60" s="996"/>
      <c r="Z60" s="1519"/>
      <c r="AA60" s="1582"/>
      <c r="AB60" s="999"/>
      <c r="AC60" s="1000"/>
      <c r="AD60" s="1001"/>
      <c r="AE60" s="1002"/>
      <c r="AF60" s="722"/>
    </row>
    <row r="61" spans="1:32" s="720" customFormat="1" ht="24" customHeight="1">
      <c r="A61" s="704"/>
      <c r="B61" s="967"/>
      <c r="C61" s="1055"/>
      <c r="D61" s="1030"/>
      <c r="E61" s="780"/>
      <c r="F61" s="1016"/>
      <c r="G61" s="1056"/>
      <c r="H61" s="1010"/>
      <c r="I61" s="1011"/>
      <c r="J61" s="1012"/>
      <c r="K61" s="1010"/>
      <c r="L61" s="1011"/>
      <c r="M61" s="1013"/>
      <c r="N61" s="1010"/>
      <c r="O61" s="1011"/>
      <c r="P61" s="766"/>
      <c r="Q61" s="1057"/>
      <c r="R61" s="1058"/>
      <c r="S61" s="1014"/>
      <c r="T61" s="1015"/>
      <c r="U61" s="1016"/>
      <c r="V61" s="1017"/>
      <c r="W61" s="1018"/>
      <c r="X61" s="1019"/>
      <c r="Y61" s="1020"/>
      <c r="Z61" s="1521"/>
      <c r="AA61" s="1522"/>
      <c r="AB61" s="1021"/>
      <c r="AC61" s="1022"/>
      <c r="AD61" s="1023"/>
      <c r="AE61" s="1024"/>
      <c r="AF61" s="722"/>
    </row>
    <row r="62" spans="1:32" s="720" customFormat="1" ht="24" customHeight="1">
      <c r="A62" s="704"/>
      <c r="B62" s="1037"/>
      <c r="C62" s="1025"/>
      <c r="D62" s="727"/>
      <c r="E62" s="986"/>
      <c r="F62" s="986"/>
      <c r="G62" s="1038"/>
      <c r="H62" s="988"/>
      <c r="I62" s="989"/>
      <c r="J62" s="990"/>
      <c r="K62" s="988"/>
      <c r="L62" s="989"/>
      <c r="M62" s="1039"/>
      <c r="N62" s="988"/>
      <c r="O62" s="992"/>
      <c r="P62" s="1059"/>
      <c r="Q62" s="1060"/>
      <c r="R62" s="989"/>
      <c r="S62" s="994"/>
      <c r="T62" s="988"/>
      <c r="U62" s="989"/>
      <c r="V62" s="995"/>
      <c r="W62" s="996"/>
      <c r="X62" s="997"/>
      <c r="Y62" s="996"/>
      <c r="Z62" s="1519"/>
      <c r="AA62" s="1582"/>
      <c r="AB62" s="999"/>
      <c r="AC62" s="1000"/>
      <c r="AD62" s="1001"/>
      <c r="AE62" s="1002"/>
      <c r="AF62" s="722"/>
    </row>
    <row r="63" spans="1:32" s="720" customFormat="1" ht="24" customHeight="1">
      <c r="A63" s="704"/>
      <c r="B63" s="967"/>
      <c r="C63" s="1003"/>
      <c r="D63" s="726" t="s">
        <v>448</v>
      </c>
      <c r="E63" s="779"/>
      <c r="F63" s="976"/>
      <c r="G63" s="721" t="s">
        <v>600</v>
      </c>
      <c r="H63" s="969"/>
      <c r="I63" s="970"/>
      <c r="J63" s="766"/>
      <c r="K63" s="969"/>
      <c r="L63" s="970"/>
      <c r="M63" s="972"/>
      <c r="N63" s="969"/>
      <c r="O63" s="970"/>
      <c r="P63" s="973" t="s">
        <v>527</v>
      </c>
      <c r="Q63" s="969"/>
      <c r="R63" s="970"/>
      <c r="S63" s="1014" t="s">
        <v>603</v>
      </c>
      <c r="T63" s="983"/>
      <c r="U63" s="976"/>
      <c r="V63" s="977"/>
      <c r="W63" s="978"/>
      <c r="X63" s="1539"/>
      <c r="Y63" s="1540"/>
      <c r="Z63" s="1523"/>
      <c r="AA63" s="1524"/>
      <c r="AB63" s="981"/>
      <c r="AC63" s="982"/>
      <c r="AD63" s="983"/>
      <c r="AE63" s="984"/>
      <c r="AF63" s="722"/>
    </row>
    <row r="64" spans="1:32" s="720" customFormat="1" ht="24" customHeight="1">
      <c r="A64" s="704"/>
      <c r="B64" s="1052" t="s">
        <v>340</v>
      </c>
      <c r="C64" s="1053"/>
      <c r="D64" s="727">
        <v>303</v>
      </c>
      <c r="E64" s="986">
        <f>E42</f>
        <v>1161.9</v>
      </c>
      <c r="F64" s="987"/>
      <c r="G64" s="723" t="s">
        <v>601</v>
      </c>
      <c r="H64" s="988">
        <f>H42</f>
        <v>5</v>
      </c>
      <c r="I64" s="989">
        <f>I42</f>
        <v>37.1</v>
      </c>
      <c r="J64" s="1034"/>
      <c r="K64" s="988"/>
      <c r="L64" s="989"/>
      <c r="M64" s="991" t="s">
        <v>526</v>
      </c>
      <c r="N64" s="1312">
        <f>SUMIF($M$8:$O$40,M64,N$8:N$40)</f>
        <v>15</v>
      </c>
      <c r="O64" s="1382">
        <f>SUMIF($M$8:$O$40,M64,O$8:O$40)</f>
        <v>9</v>
      </c>
      <c r="P64" s="993">
        <v>303</v>
      </c>
      <c r="Q64" s="1044">
        <f>SUM(Q8:Q38)</f>
        <v>3</v>
      </c>
      <c r="R64" s="1043">
        <f>SUM(R8:R38)</f>
        <v>6</v>
      </c>
      <c r="S64" s="994" t="s">
        <v>604</v>
      </c>
      <c r="T64" s="1044">
        <f>SUM(T8:T38)</f>
        <v>6</v>
      </c>
      <c r="U64" s="1043">
        <f>SUM(U9:U38)</f>
        <v>39.9</v>
      </c>
      <c r="V64" s="995"/>
      <c r="W64" s="996"/>
      <c r="X64" s="1527"/>
      <c r="Y64" s="1526"/>
      <c r="Z64" s="1525"/>
      <c r="AA64" s="1547"/>
      <c r="AB64" s="999">
        <v>300</v>
      </c>
      <c r="AC64" s="1000">
        <f>AC42+AC58</f>
        <v>10</v>
      </c>
      <c r="AD64" s="1000">
        <f>AD42+AD58</f>
        <v>62</v>
      </c>
      <c r="AE64" s="1002"/>
      <c r="AF64" s="722"/>
    </row>
    <row r="65" spans="1:32" s="720" customFormat="1" ht="24" customHeight="1">
      <c r="A65" s="704"/>
      <c r="B65" s="967"/>
      <c r="C65" s="1003"/>
      <c r="D65" s="726"/>
      <c r="E65" s="779"/>
      <c r="F65" s="976"/>
      <c r="G65" s="721"/>
      <c r="H65" s="969"/>
      <c r="I65" s="970"/>
      <c r="J65" s="971"/>
      <c r="K65" s="969"/>
      <c r="L65" s="970"/>
      <c r="M65" s="972"/>
      <c r="N65" s="1313"/>
      <c r="O65" s="1311"/>
      <c r="P65" s="973"/>
      <c r="Q65" s="969"/>
      <c r="R65" s="970"/>
      <c r="S65" s="975"/>
      <c r="T65" s="983"/>
      <c r="U65" s="976"/>
      <c r="V65" s="977"/>
      <c r="W65" s="978"/>
      <c r="X65" s="979"/>
      <c r="Y65" s="1006"/>
      <c r="Z65" s="1541"/>
      <c r="AA65" s="1550"/>
      <c r="AB65" s="981"/>
      <c r="AC65" s="982"/>
      <c r="AD65" s="983"/>
      <c r="AE65" s="984"/>
      <c r="AF65" s="722"/>
    </row>
    <row r="66" spans="1:32" s="720" customFormat="1" ht="24" customHeight="1">
      <c r="A66" s="704"/>
      <c r="B66" s="1037"/>
      <c r="C66" s="1025"/>
      <c r="D66" s="727"/>
      <c r="E66" s="986"/>
      <c r="F66" s="987"/>
      <c r="G66" s="728"/>
      <c r="H66" s="988"/>
      <c r="I66" s="988"/>
      <c r="J66" s="990"/>
      <c r="K66" s="988"/>
      <c r="L66" s="989"/>
      <c r="M66" s="991" t="s">
        <v>602</v>
      </c>
      <c r="N66" s="1312">
        <f>SUMIF($M$8:$O$40,M66,N$8:N$40)</f>
        <v>9</v>
      </c>
      <c r="O66" s="1382">
        <f>SUMIF($M$8:$O$40,M66,O$8:O$40)</f>
        <v>5.3999999999999995</v>
      </c>
      <c r="P66" s="1035"/>
      <c r="Q66" s="988"/>
      <c r="R66" s="1054"/>
      <c r="S66" s="994"/>
      <c r="T66" s="988"/>
      <c r="U66" s="989"/>
      <c r="V66" s="995"/>
      <c r="W66" s="996"/>
      <c r="X66" s="997"/>
      <c r="Y66" s="996"/>
      <c r="Z66" s="1525"/>
      <c r="AA66" s="1547"/>
      <c r="AB66" s="999"/>
      <c r="AC66" s="1000"/>
      <c r="AD66" s="1000"/>
      <c r="AE66" s="1002"/>
      <c r="AF66" s="722"/>
    </row>
    <row r="67" spans="1:32" s="720" customFormat="1" ht="24" customHeight="1">
      <c r="A67" s="704"/>
      <c r="B67" s="967"/>
      <c r="C67" s="1003"/>
      <c r="D67" s="726"/>
      <c r="E67" s="779"/>
      <c r="F67" s="976"/>
      <c r="G67" s="721"/>
      <c r="H67" s="969"/>
      <c r="I67" s="970"/>
      <c r="J67" s="971"/>
      <c r="K67" s="969"/>
      <c r="L67" s="970"/>
      <c r="M67" s="972"/>
      <c r="N67" s="969"/>
      <c r="O67" s="970"/>
      <c r="P67" s="1041"/>
      <c r="Q67" s="969"/>
      <c r="R67" s="970"/>
      <c r="S67" s="975"/>
      <c r="T67" s="983"/>
      <c r="U67" s="976"/>
      <c r="V67" s="977"/>
      <c r="W67" s="978"/>
      <c r="X67" s="979"/>
      <c r="Y67" s="1006"/>
      <c r="Z67" s="1523"/>
      <c r="AA67" s="1524"/>
      <c r="AB67" s="981"/>
      <c r="AC67" s="982"/>
      <c r="AD67" s="983"/>
      <c r="AE67" s="984"/>
      <c r="AF67" s="722"/>
    </row>
    <row r="68" spans="1:32" s="720" customFormat="1" ht="24" customHeight="1">
      <c r="A68" s="704"/>
      <c r="B68" s="1583" t="s">
        <v>718</v>
      </c>
      <c r="C68" s="1584"/>
      <c r="D68" s="1584"/>
      <c r="E68" s="1584"/>
      <c r="F68" s="1585"/>
      <c r="G68" s="1561" t="s">
        <v>719</v>
      </c>
      <c r="H68" s="1562"/>
      <c r="I68" s="1562"/>
      <c r="J68" s="1562"/>
      <c r="K68" s="1562"/>
      <c r="L68" s="1562"/>
      <c r="M68" s="1562"/>
      <c r="N68" s="1562"/>
      <c r="O68" s="1562"/>
      <c r="P68" s="1562"/>
      <c r="Q68" s="1562"/>
      <c r="R68" s="1562"/>
      <c r="S68" s="1562"/>
      <c r="T68" s="1562"/>
      <c r="U68" s="1563"/>
      <c r="V68" s="995"/>
      <c r="W68" s="996"/>
      <c r="X68" s="997"/>
      <c r="Y68" s="996"/>
      <c r="Z68" s="1519"/>
      <c r="AA68" s="1582"/>
      <c r="AB68" s="999"/>
      <c r="AC68" s="1000"/>
      <c r="AD68" s="1001"/>
      <c r="AE68" s="1002"/>
      <c r="AF68" s="722"/>
    </row>
    <row r="69" spans="1:32" s="720" customFormat="1" ht="24" customHeight="1">
      <c r="A69" s="704"/>
      <c r="B69" s="967"/>
      <c r="C69" s="1003"/>
      <c r="D69" s="726"/>
      <c r="E69" s="779"/>
      <c r="F69" s="976"/>
      <c r="G69" s="721"/>
      <c r="H69" s="969"/>
      <c r="I69" s="970"/>
      <c r="J69" s="971"/>
      <c r="K69" s="969"/>
      <c r="L69" s="970"/>
      <c r="M69" s="972"/>
      <c r="N69" s="969"/>
      <c r="O69" s="970"/>
      <c r="P69" s="1041"/>
      <c r="Q69" s="969"/>
      <c r="R69" s="970"/>
      <c r="S69" s="975"/>
      <c r="T69" s="983"/>
      <c r="U69" s="976"/>
      <c r="V69" s="977"/>
      <c r="W69" s="978"/>
      <c r="X69" s="979"/>
      <c r="Y69" s="1006"/>
      <c r="Z69" s="1523"/>
      <c r="AA69" s="1524"/>
      <c r="AB69" s="981"/>
      <c r="AC69" s="982"/>
      <c r="AD69" s="983"/>
      <c r="AE69" s="984"/>
      <c r="AF69" s="722"/>
    </row>
    <row r="70" spans="1:32" s="720" customFormat="1" ht="24" customHeight="1">
      <c r="A70" s="704"/>
      <c r="B70" s="1037"/>
      <c r="C70" s="1025"/>
      <c r="D70" s="727"/>
      <c r="E70" s="986"/>
      <c r="F70" s="987"/>
      <c r="G70" s="1038"/>
      <c r="H70" s="988"/>
      <c r="I70" s="989"/>
      <c r="J70" s="990"/>
      <c r="K70" s="988"/>
      <c r="L70" s="989"/>
      <c r="M70" s="1039"/>
      <c r="N70" s="988"/>
      <c r="O70" s="992"/>
      <c r="P70" s="1040"/>
      <c r="Q70" s="988"/>
      <c r="R70" s="989"/>
      <c r="S70" s="994"/>
      <c r="T70" s="988"/>
      <c r="U70" s="989"/>
      <c r="V70" s="995"/>
      <c r="W70" s="996"/>
      <c r="X70" s="997"/>
      <c r="Y70" s="996"/>
      <c r="Z70" s="1519"/>
      <c r="AA70" s="1582"/>
      <c r="AB70" s="999"/>
      <c r="AC70" s="1000"/>
      <c r="AD70" s="1001"/>
      <c r="AE70" s="1002"/>
      <c r="AF70" s="722"/>
    </row>
    <row r="71" spans="1:32" s="720" customFormat="1" ht="24" customHeight="1">
      <c r="A71" s="704"/>
      <c r="B71" s="967"/>
      <c r="C71" s="1003"/>
      <c r="D71" s="726"/>
      <c r="E71" s="779"/>
      <c r="F71" s="976"/>
      <c r="G71" s="721"/>
      <c r="H71" s="969"/>
      <c r="I71" s="970"/>
      <c r="J71" s="971"/>
      <c r="K71" s="969"/>
      <c r="L71" s="970"/>
      <c r="M71" s="972"/>
      <c r="N71" s="969"/>
      <c r="O71" s="970"/>
      <c r="P71" s="1041"/>
      <c r="Q71" s="969"/>
      <c r="R71" s="970"/>
      <c r="S71" s="975"/>
      <c r="T71" s="983"/>
      <c r="U71" s="976"/>
      <c r="V71" s="977"/>
      <c r="W71" s="978"/>
      <c r="X71" s="979"/>
      <c r="Y71" s="1006"/>
      <c r="Z71" s="1523"/>
      <c r="AA71" s="1524"/>
      <c r="AB71" s="981"/>
      <c r="AC71" s="982"/>
      <c r="AD71" s="983"/>
      <c r="AE71" s="984"/>
      <c r="AF71" s="722"/>
    </row>
    <row r="72" spans="1:32" s="720" customFormat="1" ht="24" customHeight="1">
      <c r="A72" s="704"/>
      <c r="B72" s="1037"/>
      <c r="C72" s="1025"/>
      <c r="D72" s="727"/>
      <c r="E72" s="986"/>
      <c r="F72" s="987"/>
      <c r="G72" s="1038"/>
      <c r="H72" s="988"/>
      <c r="I72" s="989"/>
      <c r="J72" s="990"/>
      <c r="K72" s="988"/>
      <c r="L72" s="989"/>
      <c r="M72" s="1039"/>
      <c r="N72" s="988"/>
      <c r="O72" s="992"/>
      <c r="P72" s="1040"/>
      <c r="Q72" s="988"/>
      <c r="R72" s="989"/>
      <c r="S72" s="994"/>
      <c r="T72" s="988"/>
      <c r="U72" s="989"/>
      <c r="V72" s="995"/>
      <c r="W72" s="996"/>
      <c r="X72" s="997"/>
      <c r="Y72" s="996"/>
      <c r="Z72" s="1519"/>
      <c r="AA72" s="1582"/>
      <c r="AB72" s="999"/>
      <c r="AC72" s="1000"/>
      <c r="AD72" s="1001"/>
      <c r="AE72" s="1002"/>
      <c r="AF72" s="722"/>
    </row>
    <row r="73" spans="1:32" s="720" customFormat="1" ht="24" customHeight="1">
      <c r="A73" s="704"/>
      <c r="B73" s="1061"/>
      <c r="C73" s="779"/>
      <c r="D73" s="1004"/>
      <c r="E73" s="779"/>
      <c r="F73" s="976"/>
      <c r="G73" s="1062"/>
      <c r="H73" s="983"/>
      <c r="I73" s="976"/>
      <c r="J73" s="779"/>
      <c r="K73" s="983"/>
      <c r="L73" s="976"/>
      <c r="M73" s="779"/>
      <c r="N73" s="983"/>
      <c r="O73" s="976"/>
      <c r="P73" s="779"/>
      <c r="Q73" s="983"/>
      <c r="R73" s="976"/>
      <c r="S73" s="779"/>
      <c r="T73" s="983"/>
      <c r="U73" s="976"/>
      <c r="V73" s="1063"/>
      <c r="W73" s="980"/>
      <c r="X73" s="1064"/>
      <c r="Y73" s="1006"/>
      <c r="Z73" s="982"/>
      <c r="AA73" s="1006"/>
      <c r="AB73" s="1065"/>
      <c r="AC73" s="982"/>
      <c r="AD73" s="983"/>
      <c r="AE73" s="1066"/>
      <c r="AF73" s="705"/>
    </row>
    <row r="74" spans="1:32" s="720" customFormat="1" ht="24" customHeight="1">
      <c r="A74" s="704"/>
      <c r="B74" s="1067"/>
      <c r="C74" s="1068"/>
      <c r="D74" s="1004"/>
      <c r="E74" s="1068"/>
      <c r="F74" s="983"/>
      <c r="G74" s="1062"/>
      <c r="H74" s="983"/>
      <c r="I74" s="983"/>
      <c r="J74" s="779"/>
      <c r="K74" s="983"/>
      <c r="L74" s="983"/>
      <c r="M74" s="779"/>
      <c r="N74" s="983"/>
      <c r="O74" s="983"/>
      <c r="P74" s="779"/>
      <c r="Q74" s="983"/>
      <c r="R74" s="983"/>
      <c r="S74" s="779"/>
      <c r="T74" s="983"/>
      <c r="U74" s="983"/>
      <c r="V74" s="1063"/>
      <c r="W74" s="980"/>
      <c r="X74" s="1069"/>
      <c r="Y74" s="980"/>
      <c r="Z74" s="1070"/>
      <c r="AA74" s="980"/>
      <c r="AB74" s="1065"/>
      <c r="AC74" s="983"/>
      <c r="AD74" s="983"/>
      <c r="AE74" s="1066"/>
      <c r="AF74" s="705"/>
    </row>
    <row r="75" spans="1:32" s="720" customFormat="1" ht="24" customHeight="1" thickBot="1">
      <c r="A75" s="704"/>
      <c r="B75" s="729"/>
      <c r="C75" s="730" t="s">
        <v>404</v>
      </c>
      <c r="D75" s="731"/>
      <c r="E75" s="730" t="s">
        <v>404</v>
      </c>
      <c r="F75" s="732" t="s">
        <v>404</v>
      </c>
      <c r="G75" s="733"/>
      <c r="H75" s="734"/>
      <c r="I75" s="732" t="s">
        <v>404</v>
      </c>
      <c r="J75" s="731"/>
      <c r="K75" s="734"/>
      <c r="L75" s="732" t="s">
        <v>404</v>
      </c>
      <c r="M75" s="731"/>
      <c r="N75" s="734"/>
      <c r="O75" s="732" t="s">
        <v>404</v>
      </c>
      <c r="P75" s="731"/>
      <c r="Q75" s="734"/>
      <c r="R75" s="732" t="s">
        <v>404</v>
      </c>
      <c r="S75" s="731"/>
      <c r="T75" s="734"/>
      <c r="U75" s="732" t="s">
        <v>404</v>
      </c>
      <c r="V75" s="735" t="s">
        <v>404</v>
      </c>
      <c r="W75" s="736" t="s">
        <v>404</v>
      </c>
      <c r="X75" s="737"/>
      <c r="Y75" s="738" t="s">
        <v>74</v>
      </c>
      <c r="Z75" s="734"/>
      <c r="AA75" s="738" t="s">
        <v>74</v>
      </c>
      <c r="AB75" s="731"/>
      <c r="AC75" s="734"/>
      <c r="AD75" s="739" t="s">
        <v>405</v>
      </c>
      <c r="AE75" s="740"/>
      <c r="AF75" s="705"/>
    </row>
    <row r="76" spans="1:32" s="684" customFormat="1" ht="24" customHeight="1" thickTop="1">
      <c r="A76" s="680"/>
      <c r="B76" s="689" t="s">
        <v>406</v>
      </c>
      <c r="C76" s="690"/>
      <c r="D76" s="690" t="s">
        <v>407</v>
      </c>
      <c r="E76" s="741" t="s">
        <v>71</v>
      </c>
      <c r="F76" s="742" t="s">
        <v>72</v>
      </c>
      <c r="G76" s="743" t="s">
        <v>73</v>
      </c>
      <c r="H76" s="744" t="s">
        <v>74</v>
      </c>
      <c r="I76" s="745" t="s">
        <v>408</v>
      </c>
      <c r="J76" s="741" t="s">
        <v>73</v>
      </c>
      <c r="K76" s="744" t="s">
        <v>74</v>
      </c>
      <c r="L76" s="745" t="s">
        <v>408</v>
      </c>
      <c r="M76" s="741" t="s">
        <v>73</v>
      </c>
      <c r="N76" s="744" t="s">
        <v>74</v>
      </c>
      <c r="O76" s="745" t="s">
        <v>408</v>
      </c>
      <c r="P76" s="741" t="s">
        <v>73</v>
      </c>
      <c r="Q76" s="744" t="s">
        <v>74</v>
      </c>
      <c r="R76" s="745" t="s">
        <v>408</v>
      </c>
      <c r="S76" s="741" t="s">
        <v>73</v>
      </c>
      <c r="T76" s="744" t="s">
        <v>74</v>
      </c>
      <c r="U76" s="746" t="s">
        <v>75</v>
      </c>
      <c r="V76" s="747"/>
      <c r="W76" s="748"/>
      <c r="X76" s="1548" t="s">
        <v>409</v>
      </c>
      <c r="Y76" s="1549"/>
      <c r="Z76" s="1537" t="s">
        <v>410</v>
      </c>
      <c r="AA76" s="1538"/>
      <c r="AB76" s="741" t="s">
        <v>73</v>
      </c>
      <c r="AC76" s="744" t="s">
        <v>74</v>
      </c>
      <c r="AD76" s="749" t="s">
        <v>411</v>
      </c>
      <c r="AE76" s="1533" t="s">
        <v>412</v>
      </c>
      <c r="AF76" s="691"/>
    </row>
    <row r="77" spans="1:32" s="684" customFormat="1" ht="24" customHeight="1">
      <c r="A77" s="680"/>
      <c r="B77" s="689" t="s">
        <v>413</v>
      </c>
      <c r="C77" s="692" t="s">
        <v>414</v>
      </c>
      <c r="D77" s="692" t="s">
        <v>252</v>
      </c>
      <c r="E77" s="1553" t="s">
        <v>102</v>
      </c>
      <c r="F77" s="1554"/>
      <c r="G77" s="1560" t="s">
        <v>124</v>
      </c>
      <c r="H77" s="1536"/>
      <c r="I77" s="1536"/>
      <c r="J77" s="1535" t="s">
        <v>124</v>
      </c>
      <c r="K77" s="1536"/>
      <c r="L77" s="1536"/>
      <c r="M77" s="1535" t="s">
        <v>125</v>
      </c>
      <c r="N77" s="1536"/>
      <c r="O77" s="1536"/>
      <c r="P77" s="1535" t="s">
        <v>256</v>
      </c>
      <c r="Q77" s="1536"/>
      <c r="R77" s="1536"/>
      <c r="S77" s="1535" t="s">
        <v>126</v>
      </c>
      <c r="T77" s="1536"/>
      <c r="U77" s="1536"/>
      <c r="V77" s="1544"/>
      <c r="W77" s="1545"/>
      <c r="X77" s="1535" t="s">
        <v>127</v>
      </c>
      <c r="Y77" s="1536"/>
      <c r="Z77" s="1536"/>
      <c r="AA77" s="1536"/>
      <c r="AB77" s="1535" t="s">
        <v>128</v>
      </c>
      <c r="AC77" s="1536"/>
      <c r="AD77" s="1536"/>
      <c r="AE77" s="1534"/>
      <c r="AF77" s="691"/>
    </row>
    <row r="78" spans="1:32" s="684" customFormat="1" ht="24" customHeight="1" thickBot="1">
      <c r="A78" s="680"/>
      <c r="B78" s="750" t="s">
        <v>103</v>
      </c>
      <c r="C78" s="751"/>
      <c r="D78" s="752" t="s">
        <v>73</v>
      </c>
      <c r="E78" s="1529" t="s">
        <v>129</v>
      </c>
      <c r="F78" s="1530"/>
      <c r="G78" s="1559" t="s">
        <v>130</v>
      </c>
      <c r="H78" s="1531"/>
      <c r="I78" s="1531"/>
      <c r="J78" s="1531"/>
      <c r="K78" s="1531"/>
      <c r="L78" s="1531"/>
      <c r="M78" s="1531"/>
      <c r="N78" s="1531"/>
      <c r="O78" s="1531"/>
      <c r="P78" s="1531"/>
      <c r="Q78" s="1531"/>
      <c r="R78" s="1531"/>
      <c r="S78" s="1531"/>
      <c r="T78" s="1531"/>
      <c r="U78" s="1531"/>
      <c r="V78" s="1531"/>
      <c r="W78" s="1531"/>
      <c r="X78" s="1531"/>
      <c r="Y78" s="1531"/>
      <c r="Z78" s="1531"/>
      <c r="AA78" s="1531"/>
      <c r="AB78" s="1531"/>
      <c r="AC78" s="1531"/>
      <c r="AD78" s="1531"/>
      <c r="AE78" s="1532"/>
      <c r="AF78" s="691"/>
    </row>
    <row r="79" spans="1:32" ht="13.5">
      <c r="A79" s="674"/>
      <c r="B79" s="674"/>
      <c r="C79" s="675"/>
      <c r="D79" s="675"/>
      <c r="E79" s="674"/>
      <c r="F79" s="674"/>
      <c r="G79" s="674"/>
      <c r="H79" s="676"/>
      <c r="I79" s="674"/>
      <c r="J79" s="674"/>
      <c r="K79" s="676"/>
      <c r="L79" s="674"/>
      <c r="M79" s="674"/>
      <c r="N79" s="676"/>
      <c r="O79" s="674"/>
      <c r="P79" s="674"/>
      <c r="Q79" s="676"/>
      <c r="R79" s="674"/>
      <c r="S79" s="674"/>
      <c r="T79" s="676"/>
      <c r="U79" s="674"/>
      <c r="V79" s="676"/>
      <c r="W79" s="676"/>
      <c r="X79" s="676"/>
      <c r="Y79" s="676"/>
      <c r="Z79" s="676"/>
      <c r="AA79" s="676"/>
      <c r="AB79" s="674"/>
      <c r="AC79" s="676"/>
      <c r="AD79" s="676"/>
      <c r="AE79" s="674"/>
      <c r="AF79" s="674"/>
    </row>
    <row r="80" spans="1:32" ht="17.25">
      <c r="A80" s="674"/>
      <c r="B80" s="674"/>
      <c r="C80" s="753"/>
      <c r="D80" s="675"/>
      <c r="E80" s="754"/>
      <c r="F80" s="754"/>
      <c r="G80" s="674"/>
      <c r="H80" s="676"/>
      <c r="I80" s="754"/>
      <c r="J80" s="674"/>
      <c r="K80" s="676"/>
      <c r="L80" s="674"/>
      <c r="M80" s="754"/>
      <c r="N80" s="676"/>
      <c r="O80" s="674"/>
      <c r="P80" s="674"/>
      <c r="Q80" s="676"/>
      <c r="R80" s="674"/>
      <c r="S80" s="674"/>
      <c r="T80" s="676"/>
      <c r="U80" s="674"/>
      <c r="V80" s="676"/>
      <c r="W80" s="676"/>
      <c r="X80" s="676"/>
      <c r="Y80" s="676"/>
      <c r="Z80" s="676"/>
      <c r="AA80" s="676"/>
      <c r="AB80" s="674"/>
      <c r="AC80" s="676"/>
      <c r="AD80" s="676"/>
      <c r="AE80" s="674"/>
      <c r="AF80" s="674"/>
    </row>
    <row r="81" spans="1:32" ht="13.5">
      <c r="A81" s="674"/>
      <c r="B81" s="674"/>
      <c r="C81" s="675"/>
      <c r="D81" s="675"/>
      <c r="E81" s="674"/>
      <c r="F81" s="674"/>
      <c r="G81" s="674"/>
      <c r="H81" s="676"/>
      <c r="I81" s="674"/>
      <c r="J81" s="674"/>
      <c r="K81" s="676"/>
      <c r="L81" s="674"/>
      <c r="M81" s="674"/>
      <c r="N81" s="676"/>
      <c r="O81" s="674"/>
      <c r="P81" s="674"/>
      <c r="Q81" s="676"/>
      <c r="R81" s="674"/>
      <c r="S81" s="674"/>
      <c r="T81" s="676"/>
      <c r="U81" s="674"/>
      <c r="V81" s="676"/>
      <c r="W81" s="676"/>
      <c r="X81" s="676"/>
      <c r="Y81" s="676"/>
      <c r="Z81" s="676"/>
      <c r="AA81" s="676"/>
      <c r="AB81" s="674"/>
      <c r="AC81" s="676"/>
      <c r="AD81" s="676"/>
      <c r="AE81" s="674"/>
      <c r="AF81" s="674"/>
    </row>
    <row r="82" spans="1:32" ht="13.5">
      <c r="A82" s="674"/>
      <c r="B82" s="674"/>
      <c r="C82" s="675"/>
      <c r="D82" s="675"/>
      <c r="E82" s="674"/>
      <c r="F82" s="674"/>
      <c r="G82" s="674"/>
      <c r="H82" s="676"/>
      <c r="I82" s="674"/>
      <c r="J82" s="674"/>
      <c r="K82" s="676"/>
      <c r="L82" s="674"/>
      <c r="M82" s="674"/>
      <c r="N82" s="676"/>
      <c r="O82" s="674"/>
      <c r="P82" s="674"/>
      <c r="Q82" s="676"/>
      <c r="R82" s="674"/>
      <c r="S82" s="674"/>
      <c r="T82" s="676"/>
      <c r="U82" s="674"/>
      <c r="V82" s="676"/>
      <c r="W82" s="676"/>
      <c r="X82" s="676"/>
      <c r="Y82" s="676"/>
      <c r="Z82" s="676"/>
      <c r="AA82" s="676"/>
      <c r="AB82" s="674"/>
      <c r="AC82" s="676"/>
      <c r="AD82" s="676"/>
      <c r="AE82" s="674"/>
      <c r="AF82" s="674"/>
    </row>
    <row r="83" spans="1:32" ht="13.5">
      <c r="A83" s="674"/>
      <c r="B83" s="674"/>
      <c r="C83" s="675"/>
      <c r="D83" s="675"/>
      <c r="E83" s="674"/>
      <c r="F83" s="674"/>
      <c r="G83" s="674"/>
      <c r="H83" s="676"/>
      <c r="I83" s="674"/>
      <c r="J83" s="674"/>
      <c r="K83" s="676"/>
      <c r="L83" s="674"/>
      <c r="M83" s="674"/>
      <c r="N83" s="676"/>
      <c r="O83" s="674"/>
      <c r="P83" s="674"/>
      <c r="Q83" s="676"/>
      <c r="R83" s="674"/>
      <c r="S83" s="674"/>
      <c r="T83" s="676"/>
      <c r="U83" s="674"/>
      <c r="V83" s="676"/>
      <c r="W83" s="676"/>
      <c r="X83" s="676"/>
      <c r="Y83" s="676"/>
      <c r="Z83" s="676"/>
      <c r="AA83" s="676"/>
      <c r="AB83" s="674"/>
      <c r="AC83" s="676"/>
      <c r="AD83" s="676"/>
      <c r="AE83" s="674"/>
      <c r="AF83" s="674"/>
    </row>
    <row r="84" spans="1:32" ht="13.5">
      <c r="A84" s="674"/>
      <c r="B84" s="674"/>
      <c r="C84" s="675"/>
      <c r="D84" s="675"/>
      <c r="E84" s="674"/>
      <c r="F84" s="674"/>
      <c r="G84" s="674"/>
      <c r="H84" s="676"/>
      <c r="I84" s="674"/>
      <c r="J84" s="674"/>
      <c r="K84" s="676"/>
      <c r="L84" s="674"/>
      <c r="M84" s="674"/>
      <c r="N84" s="676"/>
      <c r="O84" s="674"/>
      <c r="P84" s="674"/>
      <c r="Q84" s="676"/>
      <c r="R84" s="674"/>
      <c r="S84" s="674"/>
      <c r="T84" s="676"/>
      <c r="U84" s="674"/>
      <c r="V84" s="676"/>
      <c r="W84" s="676"/>
      <c r="X84" s="676"/>
      <c r="Y84" s="676"/>
      <c r="Z84" s="676"/>
      <c r="AA84" s="676"/>
      <c r="AB84" s="674"/>
      <c r="AC84" s="676"/>
      <c r="AD84" s="676"/>
      <c r="AE84" s="674"/>
      <c r="AF84" s="674"/>
    </row>
  </sheetData>
  <sheetProtection/>
  <mergeCells count="108">
    <mergeCell ref="Z51:AA51"/>
    <mergeCell ref="Z52:AA52"/>
    <mergeCell ref="B68:F68"/>
    <mergeCell ref="Z53:AA53"/>
    <mergeCell ref="Z60:AA60"/>
    <mergeCell ref="Z70:AA70"/>
    <mergeCell ref="Z56:AA56"/>
    <mergeCell ref="Z68:AA68"/>
    <mergeCell ref="Z72:AA72"/>
    <mergeCell ref="Z69:AA69"/>
    <mergeCell ref="Z54:AA54"/>
    <mergeCell ref="Z59:AA59"/>
    <mergeCell ref="Z62:AA62"/>
    <mergeCell ref="Z71:AA71"/>
    <mergeCell ref="Z67:AA67"/>
    <mergeCell ref="G4:H4"/>
    <mergeCell ref="Z66:AA66"/>
    <mergeCell ref="Z45:AA45"/>
    <mergeCell ref="Z64:AA64"/>
    <mergeCell ref="Z63:AA63"/>
    <mergeCell ref="X7:Y7"/>
    <mergeCell ref="Z7:AA7"/>
    <mergeCell ref="Z16:AA16"/>
    <mergeCell ref="Z17:AA17"/>
    <mergeCell ref="Z9:AA9"/>
    <mergeCell ref="Z23:AA23"/>
    <mergeCell ref="X19:Y19"/>
    <mergeCell ref="X20:Y20"/>
    <mergeCell ref="Z19:AA19"/>
    <mergeCell ref="S6:U6"/>
    <mergeCell ref="Z15:AA15"/>
    <mergeCell ref="AE6:AE7"/>
    <mergeCell ref="C2:AD2"/>
    <mergeCell ref="V6:W6"/>
    <mergeCell ref="X6:AA6"/>
    <mergeCell ref="AB6:AD6"/>
    <mergeCell ref="E5:F5"/>
    <mergeCell ref="G5:U5"/>
    <mergeCell ref="V5:AE5"/>
    <mergeCell ref="P4:Q4"/>
    <mergeCell ref="E6:F6"/>
    <mergeCell ref="G78:U78"/>
    <mergeCell ref="G77:I77"/>
    <mergeCell ref="J77:L77"/>
    <mergeCell ref="P23:P24"/>
    <mergeCell ref="M77:O77"/>
    <mergeCell ref="S77:U77"/>
    <mergeCell ref="G68:U68"/>
    <mergeCell ref="M4:N4"/>
    <mergeCell ref="P27:P28"/>
    <mergeCell ref="P25:P26"/>
    <mergeCell ref="Z14:AA14"/>
    <mergeCell ref="Z13:AA13"/>
    <mergeCell ref="Z10:AA10"/>
    <mergeCell ref="Z11:AA11"/>
    <mergeCell ref="Z12:AA12"/>
    <mergeCell ref="P6:R6"/>
    <mergeCell ref="Z24:AA24"/>
    <mergeCell ref="E77:F77"/>
    <mergeCell ref="Z37:AA37"/>
    <mergeCell ref="Z20:AA20"/>
    <mergeCell ref="Z21:AA21"/>
    <mergeCell ref="Z22:AA22"/>
    <mergeCell ref="Z27:AA27"/>
    <mergeCell ref="Z28:AA28"/>
    <mergeCell ref="Z25:AA25"/>
    <mergeCell ref="Z55:AA55"/>
    <mergeCell ref="Z61:AA61"/>
    <mergeCell ref="X77:AA77"/>
    <mergeCell ref="P77:R77"/>
    <mergeCell ref="G6:I6"/>
    <mergeCell ref="M6:O6"/>
    <mergeCell ref="J6:L6"/>
    <mergeCell ref="Z26:AA26"/>
    <mergeCell ref="V77:W77"/>
    <mergeCell ref="X76:Y76"/>
    <mergeCell ref="Z65:AA65"/>
    <mergeCell ref="Z18:AA18"/>
    <mergeCell ref="X42:Y42"/>
    <mergeCell ref="Z42:AA42"/>
    <mergeCell ref="E78:F78"/>
    <mergeCell ref="X64:Y64"/>
    <mergeCell ref="V78:AE78"/>
    <mergeCell ref="AE76:AE77"/>
    <mergeCell ref="AB77:AD77"/>
    <mergeCell ref="Z76:AA76"/>
    <mergeCell ref="X63:Y63"/>
    <mergeCell ref="Z57:AA57"/>
    <mergeCell ref="Z29:AA29"/>
    <mergeCell ref="Z30:AA30"/>
    <mergeCell ref="Z31:AA31"/>
    <mergeCell ref="Z32:AA32"/>
    <mergeCell ref="Z58:AA58"/>
    <mergeCell ref="Z44:AA44"/>
    <mergeCell ref="Z39:AA39"/>
    <mergeCell ref="Z43:AA43"/>
    <mergeCell ref="Z40:AA40"/>
    <mergeCell ref="Z35:AA35"/>
    <mergeCell ref="Z36:AA36"/>
    <mergeCell ref="Z33:AA33"/>
    <mergeCell ref="Z34:AA34"/>
    <mergeCell ref="Z41:AA41"/>
    <mergeCell ref="Z50:AA50"/>
    <mergeCell ref="Z38:AA38"/>
    <mergeCell ref="Z46:AA46"/>
    <mergeCell ref="Z47:AA47"/>
    <mergeCell ref="Z48:AA48"/>
    <mergeCell ref="Z49:AA49"/>
  </mergeCells>
  <printOptions horizontalCentered="1" verticalCentered="1"/>
  <pageMargins left="0.5905511811023623" right="0.1968503937007874" top="0.49" bottom="0.1968503937007874" header="0" footer="0"/>
  <pageSetup horizontalDpi="300" verticalDpi="3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6" tint="0.39998000860214233"/>
  </sheetPr>
  <dimension ref="A1:AB86"/>
  <sheetViews>
    <sheetView view="pageBreakPreview" zoomScale="70" zoomScaleNormal="60" zoomScaleSheetLayoutView="70" zoomScalePageLayoutView="0" workbookViewId="0" topLeftCell="A1">
      <pane ySplit="8" topLeftCell="A9" activePane="bottomLeft" state="frozen"/>
      <selection pane="topLeft" activeCell="T34" sqref="T34"/>
      <selection pane="bottomLeft" activeCell="I37" sqref="I37"/>
    </sheetView>
  </sheetViews>
  <sheetFormatPr defaultColWidth="13.625" defaultRowHeight="13.5"/>
  <cols>
    <col min="1" max="1" width="9.625" style="851" customWidth="1"/>
    <col min="2" max="2" width="9.375" style="852" customWidth="1"/>
    <col min="3" max="3" width="1.625" style="853" customWidth="1"/>
    <col min="4" max="4" width="5.125" style="852" customWidth="1"/>
    <col min="5" max="5" width="1.625" style="853" customWidth="1"/>
    <col min="6" max="6" width="3.50390625" style="852" customWidth="1"/>
    <col min="7" max="7" width="11.625" style="793" customWidth="1"/>
    <col min="8" max="8" width="11.625" style="854" customWidth="1"/>
    <col min="9" max="13" width="11.625" style="793" customWidth="1"/>
    <col min="14" max="14" width="6.125" style="793" customWidth="1"/>
    <col min="15" max="15" width="7.625" style="793" customWidth="1"/>
    <col min="16" max="23" width="11.625" style="793" customWidth="1"/>
    <col min="24" max="24" width="12.625" style="793" customWidth="1"/>
    <col min="25" max="25" width="7.625" style="793" customWidth="1"/>
    <col min="26" max="26" width="8.00390625" style="1346" bestFit="1" customWidth="1"/>
    <col min="27" max="27" width="7.00390625" style="1346" customWidth="1"/>
    <col min="28" max="28" width="3.875" style="1346" bestFit="1" customWidth="1"/>
    <col min="29" max="29" width="22.875" style="793" customWidth="1"/>
    <col min="30" max="30" width="7.625" style="793" customWidth="1"/>
    <col min="31" max="16384" width="13.625" style="793" customWidth="1"/>
  </cols>
  <sheetData>
    <row r="1" spans="1:25" ht="17.25">
      <c r="A1" s="788"/>
      <c r="B1" s="789"/>
      <c r="C1" s="790"/>
      <c r="D1" s="789"/>
      <c r="E1" s="790"/>
      <c r="F1" s="789"/>
      <c r="G1" s="791"/>
      <c r="H1" s="792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</row>
    <row r="2" spans="1:28" s="796" customFormat="1" ht="45" customHeight="1">
      <c r="A2" s="794"/>
      <c r="B2" s="789"/>
      <c r="C2" s="790"/>
      <c r="D2" s="789"/>
      <c r="E2" s="790"/>
      <c r="F2" s="789"/>
      <c r="G2" s="1593" t="s">
        <v>52</v>
      </c>
      <c r="H2" s="1593"/>
      <c r="I2" s="1593"/>
      <c r="J2" s="1593"/>
      <c r="K2" s="1593"/>
      <c r="L2" s="1593"/>
      <c r="M2" s="1593"/>
      <c r="N2" s="1593"/>
      <c r="O2" s="1593"/>
      <c r="P2" s="1593"/>
      <c r="Q2" s="1593"/>
      <c r="R2" s="1593"/>
      <c r="S2" s="1593"/>
      <c r="T2" s="1593"/>
      <c r="U2" s="1593"/>
      <c r="V2" s="1593"/>
      <c r="W2" s="1593"/>
      <c r="X2" s="795"/>
      <c r="Y2" s="795"/>
      <c r="Z2" s="1347"/>
      <c r="AA2" s="1347"/>
      <c r="AB2" s="1347"/>
    </row>
    <row r="3" spans="1:28" s="802" customFormat="1" ht="24" customHeight="1">
      <c r="A3" s="797"/>
      <c r="B3" s="798" t="s">
        <v>3</v>
      </c>
      <c r="C3" s="799"/>
      <c r="D3" s="798"/>
      <c r="E3" s="799"/>
      <c r="F3" s="798"/>
      <c r="G3" s="800"/>
      <c r="H3" s="801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1345"/>
      <c r="AA3" s="1345"/>
      <c r="AB3" s="1345"/>
    </row>
    <row r="4" spans="1:28" s="802" customFormat="1" ht="24" customHeight="1" thickBot="1">
      <c r="A4" s="797"/>
      <c r="B4" s="803"/>
      <c r="C4" s="804"/>
      <c r="D4" s="803"/>
      <c r="E4" s="804"/>
      <c r="F4" s="803"/>
      <c r="G4" s="805" t="s">
        <v>575</v>
      </c>
      <c r="H4" s="610" t="str">
        <f>'表紙１'!C2</f>
        <v>5</v>
      </c>
      <c r="I4" s="805" t="s">
        <v>260</v>
      </c>
      <c r="J4" s="804"/>
      <c r="K4" s="1598" t="str">
        <f>'表紙１'!G5</f>
        <v>多比良</v>
      </c>
      <c r="L4" s="1598"/>
      <c r="M4" s="806"/>
      <c r="N4" s="804" t="s">
        <v>5</v>
      </c>
      <c r="O4" s="804" t="str">
        <f>'表紙１'!D7</f>
        <v>1</v>
      </c>
      <c r="P4" s="804" t="s">
        <v>53</v>
      </c>
      <c r="Q4" s="855" t="str">
        <f>'表紙１'!F7</f>
        <v>－</v>
      </c>
      <c r="R4" s="804" t="s">
        <v>37</v>
      </c>
      <c r="S4" s="806"/>
      <c r="T4" s="806"/>
      <c r="U4" s="806"/>
      <c r="V4" s="806"/>
      <c r="W4" s="806"/>
      <c r="X4" s="806"/>
      <c r="Y4" s="800"/>
      <c r="Z4" s="1345"/>
      <c r="AA4" s="1345"/>
      <c r="AB4" s="1345"/>
    </row>
    <row r="5" spans="1:28" s="802" customFormat="1" ht="24" customHeight="1">
      <c r="A5" s="797"/>
      <c r="B5" s="807"/>
      <c r="C5" s="799"/>
      <c r="D5" s="798"/>
      <c r="E5" s="799"/>
      <c r="F5" s="798"/>
      <c r="G5" s="1594" t="s">
        <v>261</v>
      </c>
      <c r="H5" s="1595"/>
      <c r="I5" s="1594" t="s">
        <v>262</v>
      </c>
      <c r="J5" s="1596"/>
      <c r="K5" s="1595"/>
      <c r="L5" s="1594" t="s">
        <v>263</v>
      </c>
      <c r="M5" s="1595"/>
      <c r="N5" s="808"/>
      <c r="O5" s="800"/>
      <c r="P5" s="808"/>
      <c r="Q5" s="808"/>
      <c r="R5" s="808"/>
      <c r="S5" s="808"/>
      <c r="T5" s="1594" t="s">
        <v>264</v>
      </c>
      <c r="U5" s="1595"/>
      <c r="V5" s="1594" t="s">
        <v>265</v>
      </c>
      <c r="W5" s="1596"/>
      <c r="X5" s="1597"/>
      <c r="Y5" s="809"/>
      <c r="Z5" s="1345"/>
      <c r="AA5" s="1345"/>
      <c r="AB5" s="1345"/>
    </row>
    <row r="6" spans="1:28" s="802" customFormat="1" ht="24" customHeight="1">
      <c r="A6" s="797"/>
      <c r="B6" s="1603" t="s">
        <v>266</v>
      </c>
      <c r="C6" s="1604"/>
      <c r="D6" s="1604"/>
      <c r="E6" s="1604"/>
      <c r="F6" s="1605"/>
      <c r="G6" s="808"/>
      <c r="H6" s="810"/>
      <c r="I6" s="808"/>
      <c r="J6" s="811"/>
      <c r="K6" s="812" t="s">
        <v>54</v>
      </c>
      <c r="L6" s="808"/>
      <c r="M6" s="811"/>
      <c r="N6" s="808"/>
      <c r="O6" s="800"/>
      <c r="P6" s="813" t="s">
        <v>55</v>
      </c>
      <c r="Q6" s="813" t="s">
        <v>56</v>
      </c>
      <c r="R6" s="813" t="s">
        <v>57</v>
      </c>
      <c r="S6" s="813" t="s">
        <v>58</v>
      </c>
      <c r="T6" s="808"/>
      <c r="U6" s="811"/>
      <c r="V6" s="813" t="s">
        <v>59</v>
      </c>
      <c r="W6" s="812" t="s">
        <v>60</v>
      </c>
      <c r="X6" s="814"/>
      <c r="Y6" s="809"/>
      <c r="Z6" s="1345"/>
      <c r="AA6" s="1345"/>
      <c r="AB6" s="1345"/>
    </row>
    <row r="7" spans="1:28" s="802" customFormat="1" ht="24" customHeight="1" thickBot="1">
      <c r="A7" s="797"/>
      <c r="B7" s="1613" t="s">
        <v>61</v>
      </c>
      <c r="C7" s="1614"/>
      <c r="D7" s="1614"/>
      <c r="E7" s="1614"/>
      <c r="F7" s="1615"/>
      <c r="G7" s="815" t="s">
        <v>267</v>
      </c>
      <c r="H7" s="815" t="s">
        <v>268</v>
      </c>
      <c r="I7" s="815" t="s">
        <v>269</v>
      </c>
      <c r="J7" s="816" t="s">
        <v>270</v>
      </c>
      <c r="K7" s="817" t="s">
        <v>62</v>
      </c>
      <c r="L7" s="815" t="s">
        <v>271</v>
      </c>
      <c r="M7" s="816" t="s">
        <v>268</v>
      </c>
      <c r="N7" s="1586" t="s">
        <v>63</v>
      </c>
      <c r="O7" s="1587"/>
      <c r="P7" s="819" t="s">
        <v>64</v>
      </c>
      <c r="Q7" s="818" t="s">
        <v>1</v>
      </c>
      <c r="R7" s="818" t="s">
        <v>65</v>
      </c>
      <c r="S7" s="818" t="s">
        <v>66</v>
      </c>
      <c r="T7" s="818" t="s">
        <v>67</v>
      </c>
      <c r="U7" s="817" t="s">
        <v>68</v>
      </c>
      <c r="V7" s="815" t="s">
        <v>272</v>
      </c>
      <c r="W7" s="816" t="s">
        <v>272</v>
      </c>
      <c r="X7" s="820" t="s">
        <v>69</v>
      </c>
      <c r="Y7" s="809"/>
      <c r="Z7" s="1345"/>
      <c r="AA7" s="1345"/>
      <c r="AB7" s="1345"/>
    </row>
    <row r="8" spans="1:28" s="802" customFormat="1" ht="24" customHeight="1" thickTop="1">
      <c r="A8" s="797"/>
      <c r="B8" s="1259"/>
      <c r="C8" s="1260"/>
      <c r="D8" s="1261"/>
      <c r="E8" s="1260"/>
      <c r="F8" s="1261"/>
      <c r="G8" s="1262" t="s">
        <v>273</v>
      </c>
      <c r="H8" s="1263" t="s">
        <v>273</v>
      </c>
      <c r="I8" s="1262" t="s">
        <v>273</v>
      </c>
      <c r="J8" s="1264" t="s">
        <v>273</v>
      </c>
      <c r="K8" s="1265" t="s">
        <v>273</v>
      </c>
      <c r="L8" s="1262" t="s">
        <v>273</v>
      </c>
      <c r="M8" s="1266" t="s">
        <v>273</v>
      </c>
      <c r="N8" s="1267"/>
      <c r="O8" s="1265" t="s">
        <v>274</v>
      </c>
      <c r="P8" s="1262" t="s">
        <v>275</v>
      </c>
      <c r="Q8" s="1262" t="s">
        <v>273</v>
      </c>
      <c r="R8" s="1262" t="s">
        <v>273</v>
      </c>
      <c r="S8" s="1262" t="s">
        <v>273</v>
      </c>
      <c r="T8" s="1262" t="s">
        <v>274</v>
      </c>
      <c r="U8" s="1266" t="s">
        <v>274</v>
      </c>
      <c r="V8" s="1262" t="s">
        <v>274</v>
      </c>
      <c r="W8" s="1266" t="s">
        <v>274</v>
      </c>
      <c r="X8" s="1268" t="s">
        <v>274</v>
      </c>
      <c r="Y8" s="809"/>
      <c r="Z8" s="1345"/>
      <c r="AA8" s="1345"/>
      <c r="AB8" s="1345"/>
    </row>
    <row r="9" spans="1:28" s="802" customFormat="1" ht="24" customHeight="1">
      <c r="A9" s="797"/>
      <c r="B9" s="1269"/>
      <c r="C9" s="1270"/>
      <c r="D9" s="1271"/>
      <c r="E9" s="1271"/>
      <c r="F9" s="1271"/>
      <c r="G9" s="1262"/>
      <c r="H9" s="1263"/>
      <c r="I9" s="1262"/>
      <c r="J9" s="1272"/>
      <c r="K9" s="1265"/>
      <c r="L9" s="1262"/>
      <c r="M9" s="1266"/>
      <c r="N9" s="1267"/>
      <c r="O9" s="1265"/>
      <c r="P9" s="1273"/>
      <c r="Q9" s="1262"/>
      <c r="R9" s="1262"/>
      <c r="S9" s="1262"/>
      <c r="T9" s="1274"/>
      <c r="U9" s="1266"/>
      <c r="V9" s="1262"/>
      <c r="W9" s="1266"/>
      <c r="X9" s="1268"/>
      <c r="Y9" s="809"/>
      <c r="Z9" s="1345"/>
      <c r="AA9" s="1345"/>
      <c r="AB9" s="1345"/>
    </row>
    <row r="10" spans="1:28" s="802" customFormat="1" ht="24" customHeight="1">
      <c r="A10" s="821"/>
      <c r="B10" s="1341" t="s">
        <v>624</v>
      </c>
      <c r="C10" s="1342" t="str">
        <f>IF(D10="","","-")</f>
        <v>-</v>
      </c>
      <c r="D10" s="1343">
        <v>1</v>
      </c>
      <c r="E10" s="1276">
        <f aca="true" t="shared" si="0" ref="E10:E72">IF(F10="","","-")</f>
      </c>
      <c r="F10" s="1277"/>
      <c r="G10" s="1278"/>
      <c r="H10" s="1278">
        <v>1056</v>
      </c>
      <c r="I10" s="1278">
        <f>H10</f>
        <v>1056</v>
      </c>
      <c r="J10" s="1279"/>
      <c r="K10" s="1280"/>
      <c r="L10" s="1281">
        <f>IF(ISBLANK(G10),"",G10)</f>
      </c>
      <c r="M10" s="1282"/>
      <c r="N10" s="1281"/>
      <c r="O10" s="1280"/>
      <c r="P10" s="1278"/>
      <c r="Q10" s="1350">
        <f>SUMIF('法面積集計表'!$H$3:$N$14,'整地工'!Z10,'法面積集計表'!$N$3:$N$14)</f>
        <v>0</v>
      </c>
      <c r="R10" s="1278"/>
      <c r="S10" s="1278">
        <f>IF(ISBLANK(H10),"",H10)</f>
        <v>1056</v>
      </c>
      <c r="T10" s="1284"/>
      <c r="U10" s="1285"/>
      <c r="V10" s="1278"/>
      <c r="W10" s="1285"/>
      <c r="X10" s="1286"/>
      <c r="Y10" s="822"/>
      <c r="Z10" s="1345" t="s">
        <v>640</v>
      </c>
      <c r="AA10" s="1345"/>
      <c r="AB10" s="1345"/>
    </row>
    <row r="11" spans="1:28" s="802" customFormat="1" ht="24" customHeight="1">
      <c r="A11" s="821"/>
      <c r="B11" s="1341" t="s">
        <v>624</v>
      </c>
      <c r="C11" s="1342" t="str">
        <f aca="true" t="shared" si="1" ref="C11:C72">IF(D11="","","-")</f>
        <v>-</v>
      </c>
      <c r="D11" s="1344">
        <v>2</v>
      </c>
      <c r="E11" s="1276">
        <f t="shared" si="0"/>
      </c>
      <c r="F11" s="1287"/>
      <c r="G11" s="1278"/>
      <c r="H11" s="1278">
        <v>1542</v>
      </c>
      <c r="I11" s="1278">
        <f>H11</f>
        <v>1542</v>
      </c>
      <c r="J11" s="1279"/>
      <c r="K11" s="1280"/>
      <c r="L11" s="1281">
        <f aca="true" t="shared" si="2" ref="L11:L72">IF(ISBLANK(G11),"",G11)</f>
      </c>
      <c r="M11" s="1282"/>
      <c r="N11" s="1281"/>
      <c r="O11" s="1280"/>
      <c r="P11" s="1278"/>
      <c r="Q11" s="1350">
        <f>SUMIF('法面積集計表'!$H$3:$N$14,'整地工'!Z11,'法面積集計表'!$N$3:$N$14)</f>
        <v>0</v>
      </c>
      <c r="R11" s="1278"/>
      <c r="S11" s="1278">
        <f aca="true" t="shared" si="3" ref="S11:S71">IF(ISBLANK(H11),"",H11)</f>
        <v>1542</v>
      </c>
      <c r="T11" s="1284"/>
      <c r="U11" s="1285"/>
      <c r="V11" s="1278"/>
      <c r="W11" s="1285"/>
      <c r="X11" s="1286"/>
      <c r="Y11" s="809"/>
      <c r="Z11" s="1345" t="s">
        <v>641</v>
      </c>
      <c r="AA11" s="1345"/>
      <c r="AB11" s="1345"/>
    </row>
    <row r="12" spans="1:28" s="802" customFormat="1" ht="24" customHeight="1">
      <c r="A12" s="800"/>
      <c r="B12" s="1341" t="s">
        <v>625</v>
      </c>
      <c r="C12" s="1342" t="str">
        <f t="shared" si="1"/>
        <v>-</v>
      </c>
      <c r="D12" s="1344">
        <v>1</v>
      </c>
      <c r="E12" s="1276">
        <f t="shared" si="0"/>
      </c>
      <c r="F12" s="1287"/>
      <c r="G12" s="1278"/>
      <c r="H12" s="1278">
        <v>1883</v>
      </c>
      <c r="I12" s="1278">
        <f>H12</f>
        <v>1883</v>
      </c>
      <c r="J12" s="1279"/>
      <c r="K12" s="1280"/>
      <c r="L12" s="1281">
        <f t="shared" si="2"/>
      </c>
      <c r="M12" s="1282"/>
      <c r="N12" s="1281"/>
      <c r="O12" s="1280"/>
      <c r="P12" s="1278"/>
      <c r="Q12" s="1350">
        <f>SUMIF('法面積集計表'!$H$3:$N$14,'整地工'!Z12,'法面積集計表'!$N$3:$N$14)</f>
        <v>0</v>
      </c>
      <c r="R12" s="1278"/>
      <c r="S12" s="1278">
        <f t="shared" si="3"/>
        <v>1883</v>
      </c>
      <c r="T12" s="1284"/>
      <c r="U12" s="1285"/>
      <c r="V12" s="1278"/>
      <c r="W12" s="1285"/>
      <c r="X12" s="1286"/>
      <c r="Y12" s="822"/>
      <c r="Z12" s="1345" t="s">
        <v>642</v>
      </c>
      <c r="AA12" s="1345"/>
      <c r="AB12" s="1345"/>
    </row>
    <row r="13" spans="1:28" s="802" customFormat="1" ht="24" customHeight="1">
      <c r="A13" s="821"/>
      <c r="B13" s="1341" t="s">
        <v>625</v>
      </c>
      <c r="C13" s="1342" t="str">
        <f t="shared" si="1"/>
        <v>-</v>
      </c>
      <c r="D13" s="1344">
        <v>2</v>
      </c>
      <c r="E13" s="1276">
        <f t="shared" si="0"/>
      </c>
      <c r="F13" s="1287"/>
      <c r="G13" s="1278"/>
      <c r="H13" s="1278">
        <v>5230</v>
      </c>
      <c r="I13" s="1278"/>
      <c r="J13" s="1279"/>
      <c r="K13" s="1280"/>
      <c r="L13" s="1281">
        <f t="shared" si="2"/>
      </c>
      <c r="M13" s="1282">
        <f aca="true" t="shared" si="4" ref="M13:M72">IF(ISBLANK(H13),"",H13)</f>
        <v>5230</v>
      </c>
      <c r="N13" s="1281"/>
      <c r="O13" s="1280"/>
      <c r="P13" s="1278"/>
      <c r="Q13" s="1350">
        <f>SUMIF('法面積集計表'!$H$3:$N$14,'整地工'!Z13,'法面積集計表'!$N$3:$N$14)</f>
        <v>0</v>
      </c>
      <c r="R13" s="1278"/>
      <c r="S13" s="1278">
        <f t="shared" si="3"/>
        <v>5230</v>
      </c>
      <c r="T13" s="1284"/>
      <c r="U13" s="1285"/>
      <c r="V13" s="1278"/>
      <c r="W13" s="1285"/>
      <c r="X13" s="1286"/>
      <c r="Y13" s="822"/>
      <c r="Z13" s="1345" t="s">
        <v>643</v>
      </c>
      <c r="AA13" s="1345"/>
      <c r="AB13" s="1345"/>
    </row>
    <row r="14" spans="1:28" s="802" customFormat="1" ht="24" customHeight="1">
      <c r="A14" s="800"/>
      <c r="B14" s="1341" t="s">
        <v>626</v>
      </c>
      <c r="C14" s="1342" t="str">
        <f t="shared" si="1"/>
        <v>-</v>
      </c>
      <c r="D14" s="1344">
        <v>1</v>
      </c>
      <c r="E14" s="1276">
        <f t="shared" si="0"/>
      </c>
      <c r="F14" s="1287"/>
      <c r="G14" s="1278"/>
      <c r="H14" s="1278">
        <v>4250</v>
      </c>
      <c r="I14" s="1278"/>
      <c r="J14" s="1279"/>
      <c r="K14" s="1280"/>
      <c r="L14" s="1281">
        <f t="shared" si="2"/>
      </c>
      <c r="M14" s="1282">
        <f t="shared" si="4"/>
        <v>4250</v>
      </c>
      <c r="N14" s="1281"/>
      <c r="O14" s="1280"/>
      <c r="P14" s="1278"/>
      <c r="Q14" s="1350">
        <f>SUMIF('法面積集計表'!$H$3:$N$14,'整地工'!Z14,'法面積集計表'!$N$3:$N$14)</f>
        <v>300.93</v>
      </c>
      <c r="R14" s="1278"/>
      <c r="S14" s="1278">
        <f t="shared" si="3"/>
        <v>4250</v>
      </c>
      <c r="T14" s="1284"/>
      <c r="U14" s="1285"/>
      <c r="V14" s="1278"/>
      <c r="W14" s="1285"/>
      <c r="X14" s="1286"/>
      <c r="Y14" s="822"/>
      <c r="Z14" s="1345" t="s">
        <v>620</v>
      </c>
      <c r="AA14" s="1345"/>
      <c r="AB14" s="1345"/>
    </row>
    <row r="15" spans="1:28" s="802" customFormat="1" ht="24" customHeight="1">
      <c r="A15" s="821"/>
      <c r="B15" s="1341" t="s">
        <v>626</v>
      </c>
      <c r="C15" s="1342" t="str">
        <f t="shared" si="1"/>
        <v>-</v>
      </c>
      <c r="D15" s="1344">
        <v>2</v>
      </c>
      <c r="E15" s="1276">
        <f t="shared" si="0"/>
      </c>
      <c r="F15" s="1287"/>
      <c r="G15" s="1278"/>
      <c r="H15" s="1278">
        <v>3324</v>
      </c>
      <c r="I15" s="1278"/>
      <c r="J15" s="1279"/>
      <c r="K15" s="1280"/>
      <c r="L15" s="1281">
        <f t="shared" si="2"/>
      </c>
      <c r="M15" s="1282">
        <f t="shared" si="4"/>
        <v>3324</v>
      </c>
      <c r="N15" s="1281"/>
      <c r="O15" s="1280"/>
      <c r="P15" s="1278"/>
      <c r="Q15" s="1350">
        <f>SUMIF('法面積集計表'!$H$3:$N$14,'整地工'!Z15,'法面積集計表'!$N$3:$N$14)</f>
        <v>83.94</v>
      </c>
      <c r="R15" s="1278"/>
      <c r="S15" s="1278">
        <f t="shared" si="3"/>
        <v>3324</v>
      </c>
      <c r="T15" s="1284"/>
      <c r="U15" s="1285"/>
      <c r="V15" s="1278"/>
      <c r="W15" s="1285"/>
      <c r="X15" s="1286"/>
      <c r="Y15" s="822"/>
      <c r="Z15" s="1345" t="s">
        <v>613</v>
      </c>
      <c r="AA15" s="1345"/>
      <c r="AB15" s="1345"/>
    </row>
    <row r="16" spans="1:28" s="802" customFormat="1" ht="24" customHeight="1">
      <c r="A16" s="821"/>
      <c r="B16" s="1341" t="s">
        <v>626</v>
      </c>
      <c r="C16" s="1342" t="str">
        <f t="shared" si="1"/>
        <v>-</v>
      </c>
      <c r="D16" s="1344">
        <v>3</v>
      </c>
      <c r="E16" s="1276">
        <f t="shared" si="0"/>
      </c>
      <c r="F16" s="1287"/>
      <c r="G16" s="1278"/>
      <c r="H16" s="1278">
        <v>2424</v>
      </c>
      <c r="I16" s="1278"/>
      <c r="J16" s="1279"/>
      <c r="K16" s="1280"/>
      <c r="L16" s="1281">
        <f t="shared" si="2"/>
      </c>
      <c r="M16" s="1282">
        <f t="shared" si="4"/>
        <v>2424</v>
      </c>
      <c r="N16" s="1281"/>
      <c r="O16" s="1280"/>
      <c r="P16" s="1278"/>
      <c r="Q16" s="1350">
        <f>SUMIF('法面積集計表'!$H$3:$N$14,'整地工'!Z16,'法面積集計表'!$N$3:$N$14)</f>
        <v>138.63</v>
      </c>
      <c r="R16" s="1278"/>
      <c r="S16" s="1278">
        <f t="shared" si="3"/>
        <v>2424</v>
      </c>
      <c r="T16" s="1284"/>
      <c r="U16" s="1285"/>
      <c r="V16" s="1278"/>
      <c r="W16" s="1285"/>
      <c r="X16" s="1286"/>
      <c r="Y16" s="822"/>
      <c r="Z16" s="1345" t="s">
        <v>621</v>
      </c>
      <c r="AA16" s="1345"/>
      <c r="AB16" s="1345"/>
    </row>
    <row r="17" spans="1:28" s="802" customFormat="1" ht="24" customHeight="1">
      <c r="A17" s="800"/>
      <c r="B17" s="1341" t="s">
        <v>626</v>
      </c>
      <c r="C17" s="1342" t="str">
        <f t="shared" si="1"/>
        <v>-</v>
      </c>
      <c r="D17" s="1344">
        <v>4</v>
      </c>
      <c r="E17" s="1276">
        <f t="shared" si="0"/>
      </c>
      <c r="F17" s="1287"/>
      <c r="G17" s="1278"/>
      <c r="H17" s="1278">
        <v>1930</v>
      </c>
      <c r="I17" s="1278"/>
      <c r="J17" s="1279"/>
      <c r="K17" s="1280"/>
      <c r="L17" s="1281">
        <f t="shared" si="2"/>
      </c>
      <c r="M17" s="1282">
        <f t="shared" si="4"/>
        <v>1930</v>
      </c>
      <c r="N17" s="1281"/>
      <c r="O17" s="1280"/>
      <c r="P17" s="1278"/>
      <c r="Q17" s="1350">
        <f>SUMIF('法面積集計表'!$H$3:$N$14,'整地工'!Z17,'法面積集計表'!$N$3:$N$14)</f>
        <v>72.93</v>
      </c>
      <c r="R17" s="1278"/>
      <c r="S17" s="1278">
        <f t="shared" si="3"/>
        <v>1930</v>
      </c>
      <c r="T17" s="1284"/>
      <c r="U17" s="1285"/>
      <c r="V17" s="1278"/>
      <c r="W17" s="1285"/>
      <c r="X17" s="1286"/>
      <c r="Y17" s="822"/>
      <c r="Z17" s="1345" t="s">
        <v>615</v>
      </c>
      <c r="AA17" s="1345"/>
      <c r="AB17" s="1345"/>
    </row>
    <row r="18" spans="1:28" s="802" customFormat="1" ht="24" customHeight="1">
      <c r="A18" s="821"/>
      <c r="B18" s="1341" t="s">
        <v>627</v>
      </c>
      <c r="C18" s="1342">
        <f t="shared" si="1"/>
      </c>
      <c r="D18" s="1344"/>
      <c r="E18" s="1276">
        <f t="shared" si="0"/>
      </c>
      <c r="F18" s="1287"/>
      <c r="G18" s="1278"/>
      <c r="H18" s="1278">
        <v>3156</v>
      </c>
      <c r="I18" s="1278"/>
      <c r="J18" s="1279"/>
      <c r="K18" s="1280"/>
      <c r="L18" s="1281">
        <f t="shared" si="2"/>
      </c>
      <c r="M18" s="1282">
        <f t="shared" si="4"/>
        <v>3156</v>
      </c>
      <c r="N18" s="1281"/>
      <c r="O18" s="1280"/>
      <c r="P18" s="1278"/>
      <c r="Q18" s="1350">
        <f>SUMIF('法面積集計表'!$H$3:$N$14,'整地工'!Z18,'法面積集計表'!$N$3:$N$14)</f>
        <v>37.28</v>
      </c>
      <c r="R18" s="1278"/>
      <c r="S18" s="1278">
        <f t="shared" si="3"/>
        <v>3156</v>
      </c>
      <c r="T18" s="1284"/>
      <c r="U18" s="1285"/>
      <c r="V18" s="1278"/>
      <c r="W18" s="1288"/>
      <c r="X18" s="1286"/>
      <c r="Y18" s="822"/>
      <c r="Z18" s="1345" t="s">
        <v>622</v>
      </c>
      <c r="AA18" s="1345"/>
      <c r="AB18" s="1345"/>
    </row>
    <row r="19" spans="1:28" s="802" customFormat="1" ht="24" customHeight="1">
      <c r="A19" s="821"/>
      <c r="B19" s="1341" t="s">
        <v>628</v>
      </c>
      <c r="C19" s="1342" t="str">
        <f t="shared" si="1"/>
        <v>-</v>
      </c>
      <c r="D19" s="1344">
        <v>1</v>
      </c>
      <c r="E19" s="1276">
        <f t="shared" si="0"/>
      </c>
      <c r="F19" s="1287"/>
      <c r="G19" s="1278"/>
      <c r="H19" s="1278">
        <v>2414</v>
      </c>
      <c r="I19" s="1278">
        <f>H19</f>
        <v>2414</v>
      </c>
      <c r="J19" s="1279"/>
      <c r="K19" s="1280"/>
      <c r="L19" s="1281">
        <f t="shared" si="2"/>
      </c>
      <c r="M19" s="1282"/>
      <c r="N19" s="1281"/>
      <c r="O19" s="1280"/>
      <c r="P19" s="1278"/>
      <c r="Q19" s="1350">
        <f>SUMIF('法面積集計表'!$H$3:$N$14,'整地工'!Z19,'法面積集計表'!$N$3:$N$14)</f>
        <v>0</v>
      </c>
      <c r="R19" s="1278"/>
      <c r="S19" s="1278">
        <f t="shared" si="3"/>
        <v>2414</v>
      </c>
      <c r="T19" s="1284"/>
      <c r="U19" s="1285"/>
      <c r="V19" s="1278"/>
      <c r="W19" s="1285"/>
      <c r="X19" s="1286"/>
      <c r="Y19" s="822"/>
      <c r="Z19" s="1345" t="s">
        <v>644</v>
      </c>
      <c r="AA19" s="1345"/>
      <c r="AB19" s="1345"/>
    </row>
    <row r="20" spans="1:28" s="802" customFormat="1" ht="24" customHeight="1">
      <c r="A20" s="821"/>
      <c r="B20" s="1341" t="s">
        <v>628</v>
      </c>
      <c r="C20" s="1342" t="str">
        <f t="shared" si="1"/>
        <v>-</v>
      </c>
      <c r="D20" s="1344">
        <v>2</v>
      </c>
      <c r="E20" s="1276">
        <f t="shared" si="0"/>
      </c>
      <c r="F20" s="1287"/>
      <c r="G20" s="1278"/>
      <c r="H20" s="1278">
        <v>2121</v>
      </c>
      <c r="I20" s="1278">
        <f>H20</f>
        <v>2121</v>
      </c>
      <c r="J20" s="1279"/>
      <c r="K20" s="1280"/>
      <c r="L20" s="1281">
        <f t="shared" si="2"/>
      </c>
      <c r="M20" s="1282"/>
      <c r="N20" s="1281"/>
      <c r="O20" s="1280"/>
      <c r="P20" s="1278"/>
      <c r="Q20" s="1350">
        <f>SUMIF('法面積集計表'!$H$3:$N$14,'整地工'!Z20,'法面積集計表'!$N$3:$N$14)</f>
        <v>0</v>
      </c>
      <c r="R20" s="1278"/>
      <c r="S20" s="1278">
        <f t="shared" si="3"/>
        <v>2121</v>
      </c>
      <c r="T20" s="1284"/>
      <c r="U20" s="1285"/>
      <c r="V20" s="1278"/>
      <c r="W20" s="1285"/>
      <c r="X20" s="1286"/>
      <c r="Y20" s="809"/>
      <c r="Z20" s="1345" t="s">
        <v>645</v>
      </c>
      <c r="AA20" s="1345"/>
      <c r="AB20" s="1345"/>
    </row>
    <row r="21" spans="1:28" s="802" customFormat="1" ht="24" customHeight="1">
      <c r="A21" s="821"/>
      <c r="B21" s="1341" t="s">
        <v>629</v>
      </c>
      <c r="C21" s="1342" t="str">
        <f t="shared" si="1"/>
        <v>-</v>
      </c>
      <c r="D21" s="1344">
        <v>1</v>
      </c>
      <c r="E21" s="1276">
        <f t="shared" si="0"/>
      </c>
      <c r="F21" s="1287"/>
      <c r="G21" s="1278"/>
      <c r="H21" s="1278">
        <v>4100</v>
      </c>
      <c r="I21" s="1278"/>
      <c r="J21" s="1279"/>
      <c r="K21" s="1280"/>
      <c r="L21" s="1281">
        <f t="shared" si="2"/>
      </c>
      <c r="M21" s="1282">
        <f t="shared" si="4"/>
        <v>4100</v>
      </c>
      <c r="N21" s="1281"/>
      <c r="O21" s="1280"/>
      <c r="P21" s="1278"/>
      <c r="Q21" s="1350">
        <f>SUMIF('法面積集計表'!$H$3:$N$14,'整地工'!Z21,'法面積集計表'!$N$3:$N$14)</f>
        <v>7.54</v>
      </c>
      <c r="R21" s="1278"/>
      <c r="S21" s="1278">
        <f t="shared" si="3"/>
        <v>4100</v>
      </c>
      <c r="T21" s="1284"/>
      <c r="U21" s="1285"/>
      <c r="V21" s="1278"/>
      <c r="W21" s="1285"/>
      <c r="X21" s="1286"/>
      <c r="Y21" s="809"/>
      <c r="Z21" s="1345" t="s">
        <v>706</v>
      </c>
      <c r="AA21" s="1345"/>
      <c r="AB21" s="1345"/>
    </row>
    <row r="22" spans="1:28" s="802" customFormat="1" ht="24" customHeight="1">
      <c r="A22" s="800"/>
      <c r="B22" s="1341" t="s">
        <v>629</v>
      </c>
      <c r="C22" s="1342" t="str">
        <f t="shared" si="1"/>
        <v>-</v>
      </c>
      <c r="D22" s="1344">
        <v>2</v>
      </c>
      <c r="E22" s="1276">
        <f t="shared" si="0"/>
      </c>
      <c r="F22" s="1287"/>
      <c r="G22" s="1278"/>
      <c r="H22" s="1278">
        <v>3974</v>
      </c>
      <c r="I22" s="1278"/>
      <c r="J22" s="1279"/>
      <c r="K22" s="1280"/>
      <c r="L22" s="1281">
        <f t="shared" si="2"/>
      </c>
      <c r="M22" s="1282">
        <f t="shared" si="4"/>
        <v>3974</v>
      </c>
      <c r="N22" s="1281"/>
      <c r="O22" s="1280"/>
      <c r="P22" s="1278"/>
      <c r="Q22" s="1350">
        <f>SUMIF('法面積集計表'!$H$3:$N$14,'整地工'!Z22,'法面積集計表'!$N$3:$N$14)</f>
        <v>35.04</v>
      </c>
      <c r="R22" s="1278"/>
      <c r="S22" s="1278">
        <f t="shared" si="3"/>
        <v>3974</v>
      </c>
      <c r="T22" s="1284"/>
      <c r="U22" s="1285"/>
      <c r="V22" s="1278"/>
      <c r="W22" s="1285"/>
      <c r="X22" s="1286"/>
      <c r="Y22" s="809"/>
      <c r="Z22" s="1345" t="s">
        <v>700</v>
      </c>
      <c r="AA22" s="1345"/>
      <c r="AB22" s="1345"/>
    </row>
    <row r="23" spans="1:28" s="802" customFormat="1" ht="24" customHeight="1">
      <c r="A23" s="821"/>
      <c r="B23" s="1341" t="s">
        <v>630</v>
      </c>
      <c r="C23" s="1342" t="str">
        <f t="shared" si="1"/>
        <v>-</v>
      </c>
      <c r="D23" s="1344">
        <v>1</v>
      </c>
      <c r="E23" s="1276">
        <f t="shared" si="0"/>
      </c>
      <c r="F23" s="1287"/>
      <c r="G23" s="1278"/>
      <c r="H23" s="1278">
        <v>2614</v>
      </c>
      <c r="I23" s="1278"/>
      <c r="J23" s="1279"/>
      <c r="K23" s="1280"/>
      <c r="L23" s="1281">
        <f t="shared" si="2"/>
      </c>
      <c r="M23" s="1282">
        <f t="shared" si="4"/>
        <v>2614</v>
      </c>
      <c r="N23" s="1281"/>
      <c r="O23" s="1280"/>
      <c r="P23" s="1278"/>
      <c r="Q23" s="1350">
        <f>SUMIF('法面積集計表'!$H$3:$N$14,'整地工'!Z23,'法面積集計表'!$N$3:$N$14)</f>
        <v>97.16</v>
      </c>
      <c r="R23" s="1278"/>
      <c r="S23" s="1278">
        <f t="shared" si="3"/>
        <v>2614</v>
      </c>
      <c r="T23" s="1284"/>
      <c r="U23" s="1285"/>
      <c r="V23" s="1278"/>
      <c r="W23" s="1285"/>
      <c r="X23" s="1286"/>
      <c r="Y23" s="809"/>
      <c r="Z23" s="1345" t="s">
        <v>707</v>
      </c>
      <c r="AA23" s="1345"/>
      <c r="AB23" s="1345"/>
    </row>
    <row r="24" spans="1:28" s="802" customFormat="1" ht="24" customHeight="1">
      <c r="A24" s="821"/>
      <c r="B24" s="1341" t="s">
        <v>630</v>
      </c>
      <c r="C24" s="1342" t="str">
        <f t="shared" si="1"/>
        <v>-</v>
      </c>
      <c r="D24" s="1344">
        <v>2</v>
      </c>
      <c r="E24" s="1276">
        <f t="shared" si="0"/>
      </c>
      <c r="F24" s="1287"/>
      <c r="G24" s="1278"/>
      <c r="H24" s="1278">
        <v>3319</v>
      </c>
      <c r="I24" s="1278"/>
      <c r="J24" s="1279"/>
      <c r="K24" s="1280"/>
      <c r="L24" s="1281">
        <f t="shared" si="2"/>
      </c>
      <c r="M24" s="1282">
        <f t="shared" si="4"/>
        <v>3319</v>
      </c>
      <c r="N24" s="1281"/>
      <c r="O24" s="1280"/>
      <c r="P24" s="1278"/>
      <c r="Q24" s="1350">
        <f>SUMIF('法面積集計表'!$H$3:$N$14,'整地工'!Z24,'法面積集計表'!$N$3:$N$14)</f>
        <v>92.03999999999999</v>
      </c>
      <c r="R24" s="1278"/>
      <c r="S24" s="1278">
        <f t="shared" si="3"/>
        <v>3319</v>
      </c>
      <c r="T24" s="1284"/>
      <c r="U24" s="1285"/>
      <c r="V24" s="1278"/>
      <c r="W24" s="1285"/>
      <c r="X24" s="1286"/>
      <c r="Y24" s="809"/>
      <c r="Z24" s="1345" t="s">
        <v>703</v>
      </c>
      <c r="AA24" s="1345"/>
      <c r="AB24" s="1345"/>
    </row>
    <row r="25" spans="1:28" s="802" customFormat="1" ht="24" customHeight="1">
      <c r="A25" s="821"/>
      <c r="B25" s="1341" t="s">
        <v>632</v>
      </c>
      <c r="C25" s="1342">
        <f aca="true" t="shared" si="5" ref="C25:C36">IF(D25="","","-")</f>
      </c>
      <c r="D25" s="1344"/>
      <c r="E25" s="1276">
        <f aca="true" t="shared" si="6" ref="E25:E36">IF(F25="","","-")</f>
      </c>
      <c r="F25" s="1287"/>
      <c r="G25" s="1278"/>
      <c r="H25" s="1278">
        <v>1327</v>
      </c>
      <c r="I25" s="1278">
        <f aca="true" t="shared" si="7" ref="I25:I30">H25</f>
        <v>1327</v>
      </c>
      <c r="J25" s="1279"/>
      <c r="K25" s="1280"/>
      <c r="L25" s="1281">
        <f aca="true" t="shared" si="8" ref="L25:L36">IF(ISBLANK(G25),"",G25)</f>
      </c>
      <c r="M25" s="1282"/>
      <c r="N25" s="1281"/>
      <c r="O25" s="1280"/>
      <c r="P25" s="1278"/>
      <c r="Q25" s="1350">
        <f>SUMIF('法面積集計表'!$H$3:$N$14,'整地工'!Z25,'法面積集計表'!$N$3:$N$14)</f>
        <v>0</v>
      </c>
      <c r="R25" s="1278"/>
      <c r="S25" s="1278">
        <f aca="true" t="shared" si="9" ref="S25:S36">IF(ISBLANK(H25),"",H25)</f>
        <v>1327</v>
      </c>
      <c r="T25" s="1284"/>
      <c r="U25" s="1285"/>
      <c r="V25" s="1278"/>
      <c r="W25" s="1285"/>
      <c r="X25" s="1286"/>
      <c r="Y25" s="809"/>
      <c r="Z25" s="1345" t="s">
        <v>631</v>
      </c>
      <c r="AA25" s="1345"/>
      <c r="AB25" s="1345"/>
    </row>
    <row r="26" spans="1:28" s="802" customFormat="1" ht="24" customHeight="1">
      <c r="A26" s="821"/>
      <c r="B26" s="1341" t="s">
        <v>634</v>
      </c>
      <c r="C26" s="1342">
        <f t="shared" si="5"/>
      </c>
      <c r="D26" s="1344"/>
      <c r="E26" s="1276">
        <f t="shared" si="6"/>
      </c>
      <c r="F26" s="1287"/>
      <c r="G26" s="1278"/>
      <c r="H26" s="1278">
        <v>2629</v>
      </c>
      <c r="I26" s="1278">
        <f t="shared" si="7"/>
        <v>2629</v>
      </c>
      <c r="J26" s="1279"/>
      <c r="K26" s="1280"/>
      <c r="L26" s="1281">
        <f t="shared" si="8"/>
      </c>
      <c r="M26" s="1282"/>
      <c r="N26" s="1281"/>
      <c r="O26" s="1280"/>
      <c r="P26" s="1278"/>
      <c r="Q26" s="1350">
        <f>SUMIF('法面積集計表'!$H$3:$N$14,'整地工'!Z26,'法面積集計表'!$N$3:$N$14)</f>
        <v>0</v>
      </c>
      <c r="R26" s="1278"/>
      <c r="S26" s="1278">
        <f t="shared" si="9"/>
        <v>2629</v>
      </c>
      <c r="T26" s="1284"/>
      <c r="U26" s="1285"/>
      <c r="V26" s="1278"/>
      <c r="W26" s="1285"/>
      <c r="X26" s="1286"/>
      <c r="Y26" s="809"/>
      <c r="Z26" s="1345" t="s">
        <v>633</v>
      </c>
      <c r="AA26" s="1345"/>
      <c r="AB26" s="1345"/>
    </row>
    <row r="27" spans="1:28" s="802" customFormat="1" ht="24" customHeight="1">
      <c r="A27" s="821"/>
      <c r="B27" s="1341" t="s">
        <v>635</v>
      </c>
      <c r="C27" s="1342" t="str">
        <f t="shared" si="5"/>
        <v>-</v>
      </c>
      <c r="D27" s="1344">
        <v>1</v>
      </c>
      <c r="E27" s="1276">
        <f t="shared" si="6"/>
      </c>
      <c r="F27" s="1287"/>
      <c r="G27" s="1278"/>
      <c r="H27" s="1278">
        <v>6056</v>
      </c>
      <c r="I27" s="1278">
        <f t="shared" si="7"/>
        <v>6056</v>
      </c>
      <c r="J27" s="1279"/>
      <c r="K27" s="1280"/>
      <c r="L27" s="1281">
        <f t="shared" si="8"/>
      </c>
      <c r="M27" s="1282"/>
      <c r="N27" s="1281"/>
      <c r="O27" s="1280"/>
      <c r="P27" s="1278"/>
      <c r="Q27" s="1350">
        <f>SUMIF('法面積集計表'!$H$3:$N$14,'整地工'!Z27,'法面積集計表'!$N$3:$N$14)</f>
        <v>0</v>
      </c>
      <c r="R27" s="1278"/>
      <c r="S27" s="1278">
        <f t="shared" si="9"/>
        <v>6056</v>
      </c>
      <c r="T27" s="1284"/>
      <c r="U27" s="1285"/>
      <c r="V27" s="1278"/>
      <c r="W27" s="1285"/>
      <c r="X27" s="1286"/>
      <c r="Y27" s="809"/>
      <c r="Z27" s="1345" t="s">
        <v>646</v>
      </c>
      <c r="AA27" s="1345"/>
      <c r="AB27" s="1345"/>
    </row>
    <row r="28" spans="1:28" s="802" customFormat="1" ht="24" customHeight="1">
      <c r="A28" s="800"/>
      <c r="B28" s="1341" t="s">
        <v>635</v>
      </c>
      <c r="C28" s="1342" t="str">
        <f t="shared" si="5"/>
        <v>-</v>
      </c>
      <c r="D28" s="1344">
        <v>2</v>
      </c>
      <c r="E28" s="1276">
        <f t="shared" si="6"/>
      </c>
      <c r="F28" s="1287"/>
      <c r="G28" s="1278"/>
      <c r="H28" s="1278">
        <v>1726</v>
      </c>
      <c r="I28" s="1278">
        <f t="shared" si="7"/>
        <v>1726</v>
      </c>
      <c r="J28" s="1279"/>
      <c r="K28" s="1280"/>
      <c r="L28" s="1281">
        <f t="shared" si="8"/>
      </c>
      <c r="M28" s="1282"/>
      <c r="N28" s="1281"/>
      <c r="O28" s="1280"/>
      <c r="P28" s="1278"/>
      <c r="Q28" s="1350">
        <f>SUMIF('法面積集計表'!$H$3:$N$14,'整地工'!Z28,'法面積集計表'!$N$3:$N$14)</f>
        <v>0</v>
      </c>
      <c r="R28" s="1278"/>
      <c r="S28" s="1278">
        <f t="shared" si="9"/>
        <v>1726</v>
      </c>
      <c r="T28" s="1284"/>
      <c r="U28" s="1285"/>
      <c r="V28" s="1278"/>
      <c r="W28" s="1285"/>
      <c r="X28" s="1286"/>
      <c r="Y28" s="809"/>
      <c r="Z28" s="1345" t="s">
        <v>647</v>
      </c>
      <c r="AA28" s="1345"/>
      <c r="AB28" s="1345"/>
    </row>
    <row r="29" spans="1:28" s="802" customFormat="1" ht="24" customHeight="1">
      <c r="A29" s="821"/>
      <c r="B29" s="1341" t="s">
        <v>635</v>
      </c>
      <c r="C29" s="1342" t="str">
        <f t="shared" si="5"/>
        <v>-</v>
      </c>
      <c r="D29" s="1344">
        <v>3</v>
      </c>
      <c r="E29" s="1276">
        <f t="shared" si="6"/>
      </c>
      <c r="F29" s="1287"/>
      <c r="G29" s="1278"/>
      <c r="H29" s="1278">
        <v>5472</v>
      </c>
      <c r="I29" s="1278">
        <f t="shared" si="7"/>
        <v>5472</v>
      </c>
      <c r="J29" s="1279"/>
      <c r="K29" s="1280"/>
      <c r="L29" s="1281">
        <f t="shared" si="8"/>
      </c>
      <c r="M29" s="1282"/>
      <c r="N29" s="1281"/>
      <c r="O29" s="1280"/>
      <c r="P29" s="1278"/>
      <c r="Q29" s="1350">
        <f>SUMIF('法面積集計表'!$H$3:$N$14,'整地工'!Z29,'法面積集計表'!$N$3:$N$14)</f>
        <v>0</v>
      </c>
      <c r="R29" s="1278"/>
      <c r="S29" s="1278">
        <f t="shared" si="9"/>
        <v>5472</v>
      </c>
      <c r="T29" s="1284"/>
      <c r="U29" s="1285"/>
      <c r="V29" s="1278"/>
      <c r="W29" s="1285"/>
      <c r="X29" s="1286"/>
      <c r="Y29" s="809"/>
      <c r="Z29" s="1345" t="s">
        <v>648</v>
      </c>
      <c r="AA29" s="1345"/>
      <c r="AB29" s="1345"/>
    </row>
    <row r="30" spans="1:28" s="802" customFormat="1" ht="24" customHeight="1">
      <c r="A30" s="821"/>
      <c r="B30" s="1341" t="s">
        <v>636</v>
      </c>
      <c r="C30" s="1342" t="str">
        <f t="shared" si="5"/>
        <v>-</v>
      </c>
      <c r="D30" s="1344">
        <v>1</v>
      </c>
      <c r="E30" s="1276">
        <f t="shared" si="6"/>
      </c>
      <c r="F30" s="1287"/>
      <c r="G30" s="1278"/>
      <c r="H30" s="1278">
        <v>3673</v>
      </c>
      <c r="I30" s="1278">
        <f t="shared" si="7"/>
        <v>3673</v>
      </c>
      <c r="J30" s="1279"/>
      <c r="K30" s="1280"/>
      <c r="L30" s="1281">
        <f t="shared" si="8"/>
      </c>
      <c r="M30" s="1282"/>
      <c r="N30" s="1281"/>
      <c r="O30" s="1280"/>
      <c r="P30" s="1278"/>
      <c r="Q30" s="1350">
        <f>SUMIF('法面積集計表'!$H$3:$N$14,'整地工'!Z30,'法面積集計表'!$N$3:$N$14)</f>
        <v>0</v>
      </c>
      <c r="R30" s="1278"/>
      <c r="S30" s="1278">
        <f t="shared" si="9"/>
        <v>3673</v>
      </c>
      <c r="T30" s="1284"/>
      <c r="U30" s="1285"/>
      <c r="V30" s="1278"/>
      <c r="W30" s="1285"/>
      <c r="X30" s="1286"/>
      <c r="Y30" s="809"/>
      <c r="Z30" s="1345" t="s">
        <v>649</v>
      </c>
      <c r="AA30" s="1345"/>
      <c r="AB30" s="1345"/>
    </row>
    <row r="31" spans="1:28" s="802" customFormat="1" ht="24" customHeight="1">
      <c r="A31" s="821"/>
      <c r="B31" s="1341" t="s">
        <v>636</v>
      </c>
      <c r="C31" s="1342" t="str">
        <f t="shared" si="5"/>
        <v>-</v>
      </c>
      <c r="D31" s="1344">
        <v>2</v>
      </c>
      <c r="E31" s="1276">
        <f t="shared" si="6"/>
      </c>
      <c r="F31" s="1287"/>
      <c r="G31" s="1278"/>
      <c r="H31" s="1278">
        <v>3086</v>
      </c>
      <c r="I31" s="1278">
        <v>2076</v>
      </c>
      <c r="J31" s="1279"/>
      <c r="K31" s="1280"/>
      <c r="L31" s="1281">
        <f t="shared" si="8"/>
      </c>
      <c r="M31" s="1282">
        <f>H31-I31</f>
        <v>1010</v>
      </c>
      <c r="N31" s="1281"/>
      <c r="O31" s="1280"/>
      <c r="P31" s="1278"/>
      <c r="Q31" s="1350">
        <f>SUMIF('法面積集計表'!$H$3:$N$14,'整地工'!Z31,'法面積集計表'!$N$3:$N$14)</f>
        <v>123.46</v>
      </c>
      <c r="R31" s="1278"/>
      <c r="S31" s="1278">
        <f t="shared" si="9"/>
        <v>3086</v>
      </c>
      <c r="T31" s="1284"/>
      <c r="U31" s="1285"/>
      <c r="V31" s="1278"/>
      <c r="W31" s="1285"/>
      <c r="X31" s="1286"/>
      <c r="Y31" s="822"/>
      <c r="Z31" s="1345" t="s">
        <v>623</v>
      </c>
      <c r="AA31" s="1345"/>
      <c r="AB31" s="1345"/>
    </row>
    <row r="32" spans="1:28" s="802" customFormat="1" ht="24" customHeight="1">
      <c r="A32" s="821"/>
      <c r="B32" s="1341" t="s">
        <v>636</v>
      </c>
      <c r="C32" s="1342" t="str">
        <f t="shared" si="5"/>
        <v>-</v>
      </c>
      <c r="D32" s="1344">
        <v>3</v>
      </c>
      <c r="E32" s="1276">
        <f t="shared" si="6"/>
      </c>
      <c r="F32" s="1287"/>
      <c r="G32" s="1278"/>
      <c r="H32" s="1278">
        <v>3197</v>
      </c>
      <c r="I32" s="1278">
        <f>H32</f>
        <v>3197</v>
      </c>
      <c r="J32" s="1279"/>
      <c r="K32" s="1280"/>
      <c r="L32" s="1281">
        <f t="shared" si="8"/>
      </c>
      <c r="M32" s="1282"/>
      <c r="N32" s="1281"/>
      <c r="O32" s="1280"/>
      <c r="P32" s="1278"/>
      <c r="Q32" s="1350">
        <f>SUMIF('法面積集計表'!$H$3:$N$14,'整地工'!Z32,'法面積集計表'!$N$3:$N$14)</f>
        <v>200.15</v>
      </c>
      <c r="R32" s="1278"/>
      <c r="S32" s="1278">
        <f t="shared" si="9"/>
        <v>3197</v>
      </c>
      <c r="T32" s="1284"/>
      <c r="U32" s="1285"/>
      <c r="V32" s="1278"/>
      <c r="W32" s="1285"/>
      <c r="X32" s="1286"/>
      <c r="Y32" s="822"/>
      <c r="Z32" s="1345" t="s">
        <v>618</v>
      </c>
      <c r="AA32" s="1345"/>
      <c r="AB32" s="1345"/>
    </row>
    <row r="33" spans="1:28" s="802" customFormat="1" ht="24" customHeight="1">
      <c r="A33" s="821"/>
      <c r="B33" s="1341" t="s">
        <v>636</v>
      </c>
      <c r="C33" s="1342" t="str">
        <f t="shared" si="5"/>
        <v>-</v>
      </c>
      <c r="D33" s="1344">
        <v>4</v>
      </c>
      <c r="E33" s="1276">
        <f t="shared" si="6"/>
      </c>
      <c r="F33" s="1287"/>
      <c r="G33" s="1278"/>
      <c r="H33" s="1278">
        <v>6051</v>
      </c>
      <c r="I33" s="1278">
        <f>H33</f>
        <v>6051</v>
      </c>
      <c r="J33" s="1279"/>
      <c r="K33" s="1280"/>
      <c r="L33" s="1281">
        <f t="shared" si="8"/>
      </c>
      <c r="M33" s="1282"/>
      <c r="N33" s="1281"/>
      <c r="O33" s="1280"/>
      <c r="P33" s="1278"/>
      <c r="Q33" s="1350">
        <f>SUMIF('法面積集計表'!$H$3:$N$14,'整地工'!Z33,'法面積集計表'!$N$3:$N$14)</f>
        <v>352.05</v>
      </c>
      <c r="R33" s="1278"/>
      <c r="S33" s="1278">
        <f t="shared" si="9"/>
        <v>6051</v>
      </c>
      <c r="T33" s="1284"/>
      <c r="U33" s="1285"/>
      <c r="V33" s="1278"/>
      <c r="W33" s="1285"/>
      <c r="X33" s="1286"/>
      <c r="Y33" s="822"/>
      <c r="Z33" s="1345" t="s">
        <v>619</v>
      </c>
      <c r="AA33" s="1345"/>
      <c r="AB33" s="1345"/>
    </row>
    <row r="34" spans="1:28" s="802" customFormat="1" ht="24" customHeight="1">
      <c r="A34" s="821"/>
      <c r="B34" s="1341" t="s">
        <v>637</v>
      </c>
      <c r="C34" s="1342" t="str">
        <f t="shared" si="5"/>
        <v>-</v>
      </c>
      <c r="D34" s="1344">
        <v>1</v>
      </c>
      <c r="E34" s="1276">
        <f t="shared" si="6"/>
      </c>
      <c r="F34" s="1287"/>
      <c r="G34" s="1278"/>
      <c r="H34" s="1278">
        <v>6852</v>
      </c>
      <c r="I34" s="1278">
        <f>H34</f>
        <v>6852</v>
      </c>
      <c r="J34" s="1279"/>
      <c r="K34" s="1280"/>
      <c r="L34" s="1281">
        <f t="shared" si="8"/>
      </c>
      <c r="M34" s="1282"/>
      <c r="N34" s="1281"/>
      <c r="O34" s="1280"/>
      <c r="P34" s="1278"/>
      <c r="Q34" s="1350">
        <f>SUMIF('法面積集計表'!$H$3:$N$14,'整地工'!Z34,'法面積集計表'!$N$3:$N$14)</f>
        <v>0</v>
      </c>
      <c r="R34" s="1278"/>
      <c r="S34" s="1278">
        <f t="shared" si="9"/>
        <v>6852</v>
      </c>
      <c r="T34" s="1284"/>
      <c r="U34" s="1285"/>
      <c r="V34" s="1278"/>
      <c r="W34" s="1285"/>
      <c r="X34" s="1286"/>
      <c r="Y34" s="822"/>
      <c r="Z34" s="1345" t="s">
        <v>650</v>
      </c>
      <c r="AA34" s="1345"/>
      <c r="AB34" s="1345"/>
    </row>
    <row r="35" spans="1:28" s="802" customFormat="1" ht="24" customHeight="1">
      <c r="A35" s="823"/>
      <c r="B35" s="1341" t="s">
        <v>637</v>
      </c>
      <c r="C35" s="1342" t="str">
        <f t="shared" si="5"/>
        <v>-</v>
      </c>
      <c r="D35" s="1344">
        <v>2</v>
      </c>
      <c r="E35" s="1276">
        <f t="shared" si="6"/>
      </c>
      <c r="F35" s="1287"/>
      <c r="G35" s="1278"/>
      <c r="H35" s="1278">
        <v>7206</v>
      </c>
      <c r="I35" s="1278">
        <f>H35</f>
        <v>7206</v>
      </c>
      <c r="J35" s="1279"/>
      <c r="K35" s="1280"/>
      <c r="L35" s="1281">
        <f t="shared" si="8"/>
      </c>
      <c r="M35" s="1282"/>
      <c r="N35" s="1281"/>
      <c r="O35" s="1280"/>
      <c r="P35" s="1278"/>
      <c r="Q35" s="1350">
        <f>SUMIF('法面積集計表'!$H$3:$N$14,'整地工'!Z35,'法面積集計表'!$N$3:$N$14)</f>
        <v>0</v>
      </c>
      <c r="R35" s="1278"/>
      <c r="S35" s="1278">
        <f t="shared" si="9"/>
        <v>7206</v>
      </c>
      <c r="T35" s="1284"/>
      <c r="U35" s="1285"/>
      <c r="V35" s="1278"/>
      <c r="W35" s="1285"/>
      <c r="X35" s="1286"/>
      <c r="Y35" s="809"/>
      <c r="Z35" s="1345" t="s">
        <v>651</v>
      </c>
      <c r="AA35" s="1345"/>
      <c r="AB35" s="1345"/>
    </row>
    <row r="36" spans="1:28" s="802" customFormat="1" ht="24" customHeight="1">
      <c r="A36" s="800"/>
      <c r="B36" s="1341" t="s">
        <v>639</v>
      </c>
      <c r="C36" s="1342">
        <f t="shared" si="5"/>
      </c>
      <c r="D36" s="1344"/>
      <c r="E36" s="1276">
        <f t="shared" si="6"/>
      </c>
      <c r="F36" s="1287"/>
      <c r="G36" s="1278"/>
      <c r="H36" s="1278">
        <v>3499</v>
      </c>
      <c r="I36" s="1278">
        <f>H36</f>
        <v>3499</v>
      </c>
      <c r="J36" s="1279"/>
      <c r="K36" s="1280"/>
      <c r="L36" s="1281">
        <f t="shared" si="8"/>
      </c>
      <c r="M36" s="1282"/>
      <c r="N36" s="1281"/>
      <c r="O36" s="1280"/>
      <c r="P36" s="1278"/>
      <c r="Q36" s="1350">
        <f>SUMIF('法面積集計表'!$H$3:$N$14,'整地工'!Z36,'法面積集計表'!$N$3:$N$14)</f>
        <v>0</v>
      </c>
      <c r="R36" s="1278"/>
      <c r="S36" s="1278">
        <f t="shared" si="9"/>
        <v>3499</v>
      </c>
      <c r="T36" s="1284"/>
      <c r="U36" s="1285"/>
      <c r="V36" s="1278"/>
      <c r="W36" s="1285"/>
      <c r="X36" s="1286"/>
      <c r="Y36" s="809"/>
      <c r="Z36" s="1345" t="s">
        <v>638</v>
      </c>
      <c r="AA36" s="1345"/>
      <c r="AB36" s="1345"/>
    </row>
    <row r="37" spans="1:28" s="802" customFormat="1" ht="24" customHeight="1">
      <c r="A37" s="821"/>
      <c r="B37" s="1275"/>
      <c r="C37" s="1276">
        <f t="shared" si="1"/>
      </c>
      <c r="D37" s="856"/>
      <c r="E37" s="1276">
        <f t="shared" si="0"/>
      </c>
      <c r="F37" s="1287"/>
      <c r="G37" s="1278"/>
      <c r="H37" s="1278"/>
      <c r="I37" s="1278"/>
      <c r="J37" s="1279"/>
      <c r="K37" s="1280"/>
      <c r="L37" s="1281">
        <f t="shared" si="2"/>
      </c>
      <c r="M37" s="1282">
        <f t="shared" si="4"/>
      </c>
      <c r="N37" s="1281"/>
      <c r="O37" s="1280"/>
      <c r="P37" s="1278"/>
      <c r="Q37" s="1283"/>
      <c r="R37" s="1278"/>
      <c r="S37" s="1278">
        <f t="shared" si="3"/>
      </c>
      <c r="T37" s="1284"/>
      <c r="U37" s="1285"/>
      <c r="V37" s="1278"/>
      <c r="W37" s="1285"/>
      <c r="X37" s="1286"/>
      <c r="Y37" s="809"/>
      <c r="Z37" s="1345"/>
      <c r="AA37" s="1345"/>
      <c r="AB37" s="1345"/>
    </row>
    <row r="38" spans="1:28" s="802" customFormat="1" ht="24" customHeight="1">
      <c r="A38" s="797"/>
      <c r="B38" s="1275"/>
      <c r="C38" s="1276">
        <f t="shared" si="1"/>
      </c>
      <c r="D38" s="856"/>
      <c r="E38" s="1276">
        <f t="shared" si="0"/>
      </c>
      <c r="F38" s="1287"/>
      <c r="G38" s="1278"/>
      <c r="H38" s="1278"/>
      <c r="I38" s="1278"/>
      <c r="J38" s="1279"/>
      <c r="K38" s="1280"/>
      <c r="L38" s="1281">
        <f t="shared" si="2"/>
      </c>
      <c r="M38" s="1282">
        <f t="shared" si="4"/>
      </c>
      <c r="N38" s="1281"/>
      <c r="O38" s="1280"/>
      <c r="P38" s="1278"/>
      <c r="Q38" s="1283"/>
      <c r="R38" s="1278"/>
      <c r="S38" s="1278">
        <f t="shared" si="3"/>
      </c>
      <c r="T38" s="1284"/>
      <c r="U38" s="1285"/>
      <c r="V38" s="1278"/>
      <c r="W38" s="1285"/>
      <c r="X38" s="1286"/>
      <c r="Y38" s="809"/>
      <c r="Z38" s="1345"/>
      <c r="AA38" s="1345"/>
      <c r="AB38" s="1345"/>
    </row>
    <row r="39" spans="1:28" s="802" customFormat="1" ht="24" customHeight="1">
      <c r="A39" s="797"/>
      <c r="B39" s="1275"/>
      <c r="C39" s="1276">
        <f t="shared" si="1"/>
      </c>
      <c r="D39" s="856"/>
      <c r="E39" s="1276">
        <f t="shared" si="0"/>
      </c>
      <c r="F39" s="1287"/>
      <c r="G39" s="1278"/>
      <c r="H39" s="1278"/>
      <c r="I39" s="1278"/>
      <c r="J39" s="1279"/>
      <c r="K39" s="1280"/>
      <c r="L39" s="1281">
        <f t="shared" si="2"/>
      </c>
      <c r="M39" s="1282">
        <f t="shared" si="4"/>
      </c>
      <c r="N39" s="1281"/>
      <c r="O39" s="1280"/>
      <c r="P39" s="1278"/>
      <c r="Q39" s="1283"/>
      <c r="R39" s="1278"/>
      <c r="S39" s="1278">
        <f t="shared" si="3"/>
      </c>
      <c r="T39" s="1284"/>
      <c r="U39" s="1285"/>
      <c r="V39" s="1278"/>
      <c r="W39" s="1285"/>
      <c r="X39" s="1286"/>
      <c r="Y39" s="809"/>
      <c r="Z39" s="1345"/>
      <c r="AA39" s="1345"/>
      <c r="AB39" s="1345"/>
    </row>
    <row r="40" spans="1:28" s="802" customFormat="1" ht="24" customHeight="1">
      <c r="A40" s="797"/>
      <c r="B40" s="1275"/>
      <c r="C40" s="1276">
        <f t="shared" si="1"/>
      </c>
      <c r="D40" s="856"/>
      <c r="E40" s="1276">
        <f t="shared" si="0"/>
      </c>
      <c r="F40" s="1287"/>
      <c r="G40" s="1278"/>
      <c r="H40" s="1278"/>
      <c r="I40" s="1278"/>
      <c r="J40" s="1279"/>
      <c r="K40" s="1280"/>
      <c r="L40" s="1281">
        <f t="shared" si="2"/>
      </c>
      <c r="M40" s="1282">
        <f t="shared" si="4"/>
      </c>
      <c r="N40" s="1281"/>
      <c r="O40" s="1280"/>
      <c r="P40" s="1278"/>
      <c r="Q40" s="1283"/>
      <c r="R40" s="1278"/>
      <c r="S40" s="1278">
        <f t="shared" si="3"/>
      </c>
      <c r="T40" s="1284"/>
      <c r="U40" s="1285"/>
      <c r="V40" s="1278"/>
      <c r="W40" s="1285"/>
      <c r="X40" s="1286"/>
      <c r="Y40" s="809"/>
      <c r="Z40" s="1345"/>
      <c r="AA40" s="1345"/>
      <c r="AB40" s="1345"/>
    </row>
    <row r="41" spans="1:28" s="802" customFormat="1" ht="24" customHeight="1">
      <c r="A41" s="797"/>
      <c r="B41" s="1275"/>
      <c r="C41" s="1276">
        <f t="shared" si="1"/>
      </c>
      <c r="D41" s="856"/>
      <c r="E41" s="1276">
        <f t="shared" si="0"/>
      </c>
      <c r="F41" s="1287"/>
      <c r="G41" s="1278"/>
      <c r="H41" s="1278"/>
      <c r="I41" s="1278"/>
      <c r="J41" s="1279"/>
      <c r="K41" s="1280"/>
      <c r="L41" s="1281">
        <f t="shared" si="2"/>
      </c>
      <c r="M41" s="1282">
        <f t="shared" si="4"/>
      </c>
      <c r="N41" s="1281"/>
      <c r="O41" s="1280"/>
      <c r="P41" s="1278"/>
      <c r="Q41" s="1283"/>
      <c r="R41" s="1278"/>
      <c r="S41" s="1278">
        <f t="shared" si="3"/>
      </c>
      <c r="T41" s="1284"/>
      <c r="U41" s="1285"/>
      <c r="V41" s="1278"/>
      <c r="W41" s="1285"/>
      <c r="X41" s="1286"/>
      <c r="Y41" s="809"/>
      <c r="Z41" s="1345"/>
      <c r="AA41" s="1345"/>
      <c r="AB41" s="1345"/>
    </row>
    <row r="42" spans="1:28" s="802" customFormat="1" ht="24" customHeight="1">
      <c r="A42" s="797"/>
      <c r="B42" s="1607" t="s">
        <v>765</v>
      </c>
      <c r="C42" s="1592"/>
      <c r="D42" s="1592"/>
      <c r="E42" s="1592"/>
      <c r="F42" s="1591"/>
      <c r="G42" s="1278"/>
      <c r="H42" s="1608" t="s">
        <v>766</v>
      </c>
      <c r="I42" s="1609"/>
      <c r="J42" s="1609"/>
      <c r="K42" s="1609"/>
      <c r="L42" s="1609"/>
      <c r="M42" s="1609"/>
      <c r="N42" s="1609"/>
      <c r="O42" s="1609"/>
      <c r="P42" s="1609"/>
      <c r="Q42" s="1609"/>
      <c r="R42" s="1609"/>
      <c r="S42" s="1609"/>
      <c r="T42" s="1609"/>
      <c r="U42" s="1609"/>
      <c r="V42" s="1609"/>
      <c r="W42" s="1610"/>
      <c r="X42" s="1286"/>
      <c r="Y42" s="800"/>
      <c r="Z42" s="1345"/>
      <c r="AA42" s="1345"/>
      <c r="AB42" s="1345"/>
    </row>
    <row r="43" spans="1:28" s="802" customFormat="1" ht="24" customHeight="1">
      <c r="A43" s="797"/>
      <c r="B43" s="1275"/>
      <c r="C43" s="1276">
        <f t="shared" si="1"/>
      </c>
      <c r="D43" s="1289"/>
      <c r="E43" s="1276">
        <f t="shared" si="0"/>
      </c>
      <c r="F43" s="1287"/>
      <c r="G43" s="1278"/>
      <c r="H43" s="1278"/>
      <c r="I43" s="1278"/>
      <c r="J43" s="1279"/>
      <c r="K43" s="1280"/>
      <c r="L43" s="1281">
        <f t="shared" si="2"/>
      </c>
      <c r="M43" s="1282">
        <f t="shared" si="4"/>
      </c>
      <c r="N43" s="1281"/>
      <c r="O43" s="1280"/>
      <c r="P43" s="1278"/>
      <c r="Q43" s="1283"/>
      <c r="R43" s="1278"/>
      <c r="S43" s="1278">
        <f t="shared" si="3"/>
      </c>
      <c r="T43" s="1284"/>
      <c r="U43" s="1285"/>
      <c r="V43" s="1278"/>
      <c r="W43" s="1285"/>
      <c r="X43" s="1286"/>
      <c r="Y43" s="822"/>
      <c r="Z43" s="1345"/>
      <c r="AA43" s="1345"/>
      <c r="AB43" s="1345"/>
    </row>
    <row r="44" spans="1:28" s="802" customFormat="1" ht="24" customHeight="1">
      <c r="A44" s="797"/>
      <c r="B44" s="1275"/>
      <c r="C44" s="1276">
        <f t="shared" si="1"/>
      </c>
      <c r="D44" s="1289"/>
      <c r="E44" s="1276">
        <f t="shared" si="0"/>
      </c>
      <c r="F44" s="1287"/>
      <c r="G44" s="1278"/>
      <c r="H44" s="1278"/>
      <c r="I44" s="1278"/>
      <c r="J44" s="1279"/>
      <c r="K44" s="1280"/>
      <c r="L44" s="1281">
        <f t="shared" si="2"/>
      </c>
      <c r="M44" s="1282">
        <f t="shared" si="4"/>
      </c>
      <c r="N44" s="1281"/>
      <c r="O44" s="1280"/>
      <c r="P44" s="1278"/>
      <c r="Q44" s="1283"/>
      <c r="R44" s="1278"/>
      <c r="S44" s="1278">
        <f t="shared" si="3"/>
      </c>
      <c r="T44" s="1284"/>
      <c r="U44" s="1285"/>
      <c r="V44" s="1278"/>
      <c r="W44" s="1285"/>
      <c r="X44" s="1286"/>
      <c r="Y44" s="822"/>
      <c r="Z44" s="1345"/>
      <c r="AA44" s="1345"/>
      <c r="AB44" s="1345"/>
    </row>
    <row r="45" spans="1:28" s="802" customFormat="1" ht="24" customHeight="1">
      <c r="A45" s="797"/>
      <c r="B45" s="1275"/>
      <c r="C45" s="1276">
        <f t="shared" si="1"/>
      </c>
      <c r="D45" s="1289"/>
      <c r="E45" s="1276">
        <f t="shared" si="0"/>
      </c>
      <c r="F45" s="1287"/>
      <c r="G45" s="1278"/>
      <c r="H45" s="1278"/>
      <c r="I45" s="1278"/>
      <c r="J45" s="1279"/>
      <c r="K45" s="1280"/>
      <c r="L45" s="1281">
        <f t="shared" si="2"/>
      </c>
      <c r="M45" s="1282">
        <f t="shared" si="4"/>
      </c>
      <c r="N45" s="1281"/>
      <c r="O45" s="1280"/>
      <c r="P45" s="1278"/>
      <c r="Q45" s="1283"/>
      <c r="R45" s="1278"/>
      <c r="S45" s="1278">
        <f t="shared" si="3"/>
      </c>
      <c r="T45" s="1284"/>
      <c r="U45" s="1285"/>
      <c r="V45" s="1278"/>
      <c r="W45" s="1285"/>
      <c r="X45" s="1286"/>
      <c r="Y45" s="822"/>
      <c r="Z45" s="1345"/>
      <c r="AA45" s="1345"/>
      <c r="AB45" s="1345"/>
    </row>
    <row r="46" spans="1:28" s="802" customFormat="1" ht="24" customHeight="1">
      <c r="A46" s="797"/>
      <c r="B46" s="1275"/>
      <c r="C46" s="1276">
        <f t="shared" si="1"/>
      </c>
      <c r="D46" s="1289"/>
      <c r="E46" s="1276">
        <f t="shared" si="0"/>
      </c>
      <c r="F46" s="1287"/>
      <c r="G46" s="1278"/>
      <c r="H46" s="1278"/>
      <c r="I46" s="1278"/>
      <c r="J46" s="1279"/>
      <c r="K46" s="1280"/>
      <c r="L46" s="1281">
        <f t="shared" si="2"/>
      </c>
      <c r="M46" s="1282">
        <f t="shared" si="4"/>
      </c>
      <c r="N46" s="1281"/>
      <c r="O46" s="1280"/>
      <c r="P46" s="1278"/>
      <c r="Q46" s="1283"/>
      <c r="R46" s="1278"/>
      <c r="S46" s="1278">
        <f t="shared" si="3"/>
      </c>
      <c r="T46" s="1284"/>
      <c r="U46" s="1285"/>
      <c r="V46" s="1278"/>
      <c r="W46" s="1285"/>
      <c r="X46" s="1286"/>
      <c r="Y46" s="822"/>
      <c r="Z46" s="1345"/>
      <c r="AA46" s="1345"/>
      <c r="AB46" s="1345"/>
    </row>
    <row r="47" spans="1:28" s="802" customFormat="1" ht="24" customHeight="1">
      <c r="A47" s="797"/>
      <c r="B47" s="1275"/>
      <c r="C47" s="1276">
        <f t="shared" si="1"/>
      </c>
      <c r="D47" s="1289"/>
      <c r="E47" s="1276">
        <f t="shared" si="0"/>
      </c>
      <c r="F47" s="1287"/>
      <c r="G47" s="1278"/>
      <c r="H47" s="1278"/>
      <c r="I47" s="1278"/>
      <c r="J47" s="1279"/>
      <c r="K47" s="1280"/>
      <c r="L47" s="1281">
        <f t="shared" si="2"/>
      </c>
      <c r="M47" s="1282">
        <f t="shared" si="4"/>
      </c>
      <c r="N47" s="1281"/>
      <c r="O47" s="1280"/>
      <c r="P47" s="1278"/>
      <c r="Q47" s="1283"/>
      <c r="R47" s="1278"/>
      <c r="S47" s="1278">
        <f t="shared" si="3"/>
      </c>
      <c r="T47" s="1284"/>
      <c r="U47" s="1285"/>
      <c r="V47" s="1278"/>
      <c r="W47" s="1285"/>
      <c r="X47" s="1286"/>
      <c r="Y47" s="822"/>
      <c r="Z47" s="1345"/>
      <c r="AA47" s="1345"/>
      <c r="AB47" s="1345"/>
    </row>
    <row r="48" spans="1:28" s="802" customFormat="1" ht="24" customHeight="1">
      <c r="A48" s="797"/>
      <c r="B48" s="1275"/>
      <c r="C48" s="1276">
        <f t="shared" si="1"/>
      </c>
      <c r="D48" s="1289"/>
      <c r="E48" s="1276">
        <f t="shared" si="0"/>
      </c>
      <c r="F48" s="1287"/>
      <c r="G48" s="1278"/>
      <c r="H48" s="1278"/>
      <c r="I48" s="1278"/>
      <c r="J48" s="1279"/>
      <c r="K48" s="1280"/>
      <c r="L48" s="1281">
        <f t="shared" si="2"/>
      </c>
      <c r="M48" s="1282">
        <f t="shared" si="4"/>
      </c>
      <c r="N48" s="1281"/>
      <c r="O48" s="1280"/>
      <c r="P48" s="1278"/>
      <c r="Q48" s="1283"/>
      <c r="R48" s="1278"/>
      <c r="S48" s="1278">
        <f t="shared" si="3"/>
      </c>
      <c r="T48" s="1284"/>
      <c r="U48" s="1285"/>
      <c r="V48" s="1278"/>
      <c r="W48" s="1285"/>
      <c r="X48" s="1286"/>
      <c r="Y48" s="822"/>
      <c r="Z48" s="1345"/>
      <c r="AA48" s="1345"/>
      <c r="AB48" s="1345"/>
    </row>
    <row r="49" spans="1:28" s="802" customFormat="1" ht="24" customHeight="1">
      <c r="A49" s="797"/>
      <c r="B49" s="1275"/>
      <c r="C49" s="1276">
        <f t="shared" si="1"/>
      </c>
      <c r="D49" s="1289"/>
      <c r="E49" s="1276">
        <f t="shared" si="0"/>
      </c>
      <c r="F49" s="1287"/>
      <c r="G49" s="1278"/>
      <c r="H49" s="1278"/>
      <c r="I49" s="1278"/>
      <c r="J49" s="1279"/>
      <c r="K49" s="1280"/>
      <c r="L49" s="1281">
        <f t="shared" si="2"/>
      </c>
      <c r="M49" s="1282">
        <f t="shared" si="4"/>
      </c>
      <c r="N49" s="1281"/>
      <c r="O49" s="1280"/>
      <c r="P49" s="1278"/>
      <c r="Q49" s="1283"/>
      <c r="R49" s="1278"/>
      <c r="S49" s="1278">
        <f t="shared" si="3"/>
      </c>
      <c r="T49" s="1284"/>
      <c r="U49" s="1285"/>
      <c r="V49" s="1278"/>
      <c r="W49" s="1285"/>
      <c r="X49" s="1286"/>
      <c r="Y49" s="822"/>
      <c r="Z49" s="1345"/>
      <c r="AA49" s="1345"/>
      <c r="AB49" s="1345"/>
    </row>
    <row r="50" spans="1:28" s="802" customFormat="1" ht="24" customHeight="1">
      <c r="A50" s="797"/>
      <c r="B50" s="1275"/>
      <c r="C50" s="1276">
        <f t="shared" si="1"/>
      </c>
      <c r="D50" s="1289"/>
      <c r="E50" s="1276">
        <f t="shared" si="0"/>
      </c>
      <c r="F50" s="1287"/>
      <c r="G50" s="1278"/>
      <c r="H50" s="1278"/>
      <c r="I50" s="1278"/>
      <c r="J50" s="1279"/>
      <c r="K50" s="1280"/>
      <c r="L50" s="1281">
        <f t="shared" si="2"/>
      </c>
      <c r="M50" s="1282">
        <f t="shared" si="4"/>
      </c>
      <c r="N50" s="1281"/>
      <c r="O50" s="1280"/>
      <c r="P50" s="1278"/>
      <c r="Q50" s="1283"/>
      <c r="R50" s="1278"/>
      <c r="S50" s="1278">
        <f t="shared" si="3"/>
      </c>
      <c r="T50" s="1284"/>
      <c r="U50" s="1285"/>
      <c r="V50" s="1278"/>
      <c r="W50" s="1285"/>
      <c r="X50" s="1286"/>
      <c r="Y50" s="822"/>
      <c r="Z50" s="1345"/>
      <c r="AA50" s="1345"/>
      <c r="AB50" s="1345"/>
    </row>
    <row r="51" spans="1:28" s="802" customFormat="1" ht="24" customHeight="1">
      <c r="A51" s="797"/>
      <c r="B51" s="1275"/>
      <c r="C51" s="1276">
        <f t="shared" si="1"/>
      </c>
      <c r="D51" s="1289"/>
      <c r="E51" s="1276">
        <f t="shared" si="0"/>
      </c>
      <c r="F51" s="1287"/>
      <c r="G51" s="1278"/>
      <c r="H51" s="1278"/>
      <c r="I51" s="1278"/>
      <c r="J51" s="1279"/>
      <c r="K51" s="1280"/>
      <c r="L51" s="1281">
        <f t="shared" si="2"/>
      </c>
      <c r="M51" s="1282">
        <f t="shared" si="4"/>
      </c>
      <c r="N51" s="1281"/>
      <c r="O51" s="1280"/>
      <c r="P51" s="1278"/>
      <c r="Q51" s="1283"/>
      <c r="R51" s="1278"/>
      <c r="S51" s="1278">
        <f t="shared" si="3"/>
      </c>
      <c r="T51" s="1284"/>
      <c r="U51" s="1285"/>
      <c r="V51" s="1278"/>
      <c r="W51" s="1285"/>
      <c r="X51" s="1286"/>
      <c r="Y51" s="822"/>
      <c r="Z51" s="1345"/>
      <c r="AA51" s="1345"/>
      <c r="AB51" s="1345"/>
    </row>
    <row r="52" spans="1:28" s="802" customFormat="1" ht="24" customHeight="1">
      <c r="A52" s="797"/>
      <c r="B52" s="1275"/>
      <c r="C52" s="1276">
        <f t="shared" si="1"/>
      </c>
      <c r="D52" s="1289"/>
      <c r="E52" s="1276">
        <f t="shared" si="0"/>
      </c>
      <c r="F52" s="1287"/>
      <c r="G52" s="1278"/>
      <c r="H52" s="1278"/>
      <c r="I52" s="1278"/>
      <c r="J52" s="1279"/>
      <c r="K52" s="1280"/>
      <c r="L52" s="1281">
        <f t="shared" si="2"/>
      </c>
      <c r="M52" s="1282">
        <f t="shared" si="4"/>
      </c>
      <c r="N52" s="1281"/>
      <c r="O52" s="1280"/>
      <c r="P52" s="1278"/>
      <c r="Q52" s="1283"/>
      <c r="R52" s="1278"/>
      <c r="S52" s="1278">
        <f t="shared" si="3"/>
      </c>
      <c r="T52" s="1284"/>
      <c r="U52" s="1285"/>
      <c r="V52" s="1278"/>
      <c r="W52" s="1285"/>
      <c r="X52" s="1286"/>
      <c r="Y52" s="822"/>
      <c r="Z52" s="1345"/>
      <c r="AA52" s="1345"/>
      <c r="AB52" s="1345"/>
    </row>
    <row r="53" spans="1:28" s="802" customFormat="1" ht="24" customHeight="1">
      <c r="A53" s="797"/>
      <c r="B53" s="1275"/>
      <c r="C53" s="1276">
        <f t="shared" si="1"/>
      </c>
      <c r="D53" s="1289"/>
      <c r="E53" s="1276">
        <f t="shared" si="0"/>
      </c>
      <c r="F53" s="1287"/>
      <c r="G53" s="1278"/>
      <c r="H53" s="1278"/>
      <c r="I53" s="1278"/>
      <c r="J53" s="1279"/>
      <c r="K53" s="1280"/>
      <c r="L53" s="1281">
        <f t="shared" si="2"/>
      </c>
      <c r="M53" s="1282">
        <f t="shared" si="4"/>
      </c>
      <c r="N53" s="1281"/>
      <c r="O53" s="1280"/>
      <c r="P53" s="1278"/>
      <c r="Q53" s="1283"/>
      <c r="R53" s="1278"/>
      <c r="S53" s="1278">
        <f t="shared" si="3"/>
      </c>
      <c r="T53" s="1284"/>
      <c r="U53" s="1285"/>
      <c r="V53" s="1278"/>
      <c r="W53" s="1285"/>
      <c r="X53" s="1286"/>
      <c r="Y53" s="809"/>
      <c r="Z53" s="1345"/>
      <c r="AA53" s="1345"/>
      <c r="AB53" s="1345"/>
    </row>
    <row r="54" spans="1:28" s="802" customFormat="1" ht="24" customHeight="1">
      <c r="A54" s="797"/>
      <c r="B54" s="1275"/>
      <c r="C54" s="1276">
        <f t="shared" si="1"/>
      </c>
      <c r="D54" s="1289"/>
      <c r="E54" s="1276">
        <f t="shared" si="0"/>
      </c>
      <c r="F54" s="1287"/>
      <c r="G54" s="1278"/>
      <c r="H54" s="1278"/>
      <c r="I54" s="1278"/>
      <c r="J54" s="1279"/>
      <c r="K54" s="1280"/>
      <c r="L54" s="1281">
        <f t="shared" si="2"/>
      </c>
      <c r="M54" s="1282">
        <f t="shared" si="4"/>
      </c>
      <c r="N54" s="1281"/>
      <c r="O54" s="1280"/>
      <c r="P54" s="1278"/>
      <c r="Q54" s="1283"/>
      <c r="R54" s="1278"/>
      <c r="S54" s="1278">
        <f t="shared" si="3"/>
      </c>
      <c r="T54" s="1284"/>
      <c r="U54" s="1285"/>
      <c r="V54" s="1278"/>
      <c r="W54" s="1285"/>
      <c r="X54" s="1286"/>
      <c r="Y54" s="809"/>
      <c r="Z54" s="1345"/>
      <c r="AA54" s="1345"/>
      <c r="AB54" s="1345"/>
    </row>
    <row r="55" spans="1:28" s="802" customFormat="1" ht="24" customHeight="1">
      <c r="A55" s="797"/>
      <c r="B55" s="1275"/>
      <c r="C55" s="1276">
        <f t="shared" si="1"/>
      </c>
      <c r="D55" s="1289"/>
      <c r="E55" s="1276">
        <f t="shared" si="0"/>
      </c>
      <c r="F55" s="1287"/>
      <c r="G55" s="1278"/>
      <c r="H55" s="1278"/>
      <c r="I55" s="1278"/>
      <c r="J55" s="1279"/>
      <c r="K55" s="1280"/>
      <c r="L55" s="1281">
        <f t="shared" si="2"/>
      </c>
      <c r="M55" s="1282">
        <f t="shared" si="4"/>
      </c>
      <c r="N55" s="1281"/>
      <c r="O55" s="1280"/>
      <c r="P55" s="1278"/>
      <c r="Q55" s="1283"/>
      <c r="R55" s="1278"/>
      <c r="S55" s="1278">
        <f t="shared" si="3"/>
      </c>
      <c r="T55" s="1284"/>
      <c r="U55" s="1285"/>
      <c r="V55" s="1278"/>
      <c r="W55" s="1285"/>
      <c r="X55" s="1286"/>
      <c r="Y55" s="822"/>
      <c r="Z55" s="1345"/>
      <c r="AA55" s="1345"/>
      <c r="AB55" s="1345"/>
    </row>
    <row r="56" spans="1:28" s="802" customFormat="1" ht="24" customHeight="1">
      <c r="A56" s="797"/>
      <c r="B56" s="1275"/>
      <c r="C56" s="1276">
        <f t="shared" si="1"/>
      </c>
      <c r="D56" s="1289"/>
      <c r="E56" s="1276">
        <f t="shared" si="0"/>
      </c>
      <c r="F56" s="1287"/>
      <c r="G56" s="1278"/>
      <c r="H56" s="1278"/>
      <c r="I56" s="1278"/>
      <c r="J56" s="1279"/>
      <c r="K56" s="1280"/>
      <c r="L56" s="1281">
        <f t="shared" si="2"/>
      </c>
      <c r="M56" s="1282">
        <f t="shared" si="4"/>
      </c>
      <c r="N56" s="1281"/>
      <c r="O56" s="1280"/>
      <c r="P56" s="1278"/>
      <c r="Q56" s="1283"/>
      <c r="R56" s="1278"/>
      <c r="S56" s="1278">
        <f t="shared" si="3"/>
      </c>
      <c r="T56" s="1284"/>
      <c r="U56" s="1285"/>
      <c r="V56" s="1278"/>
      <c r="W56" s="1285"/>
      <c r="X56" s="1286"/>
      <c r="Y56" s="822"/>
      <c r="Z56" s="1345"/>
      <c r="AA56" s="1345"/>
      <c r="AB56" s="1345"/>
    </row>
    <row r="57" spans="1:28" s="802" customFormat="1" ht="24" customHeight="1">
      <c r="A57" s="797"/>
      <c r="B57" s="1275"/>
      <c r="C57" s="1276">
        <f t="shared" si="1"/>
      </c>
      <c r="D57" s="1289"/>
      <c r="E57" s="1276">
        <f t="shared" si="0"/>
      </c>
      <c r="F57" s="1287"/>
      <c r="G57" s="1278"/>
      <c r="H57" s="1278"/>
      <c r="I57" s="1278"/>
      <c r="J57" s="1279"/>
      <c r="K57" s="1280"/>
      <c r="L57" s="1281">
        <f t="shared" si="2"/>
      </c>
      <c r="M57" s="1282">
        <f t="shared" si="4"/>
      </c>
      <c r="N57" s="1281"/>
      <c r="O57" s="1280"/>
      <c r="P57" s="1278"/>
      <c r="Q57" s="1283"/>
      <c r="R57" s="1278"/>
      <c r="S57" s="1278">
        <f t="shared" si="3"/>
      </c>
      <c r="T57" s="1284"/>
      <c r="U57" s="1285"/>
      <c r="V57" s="1278"/>
      <c r="W57" s="1285"/>
      <c r="X57" s="1286"/>
      <c r="Y57" s="822"/>
      <c r="Z57" s="1345"/>
      <c r="AA57" s="1345"/>
      <c r="AB57" s="1345"/>
    </row>
    <row r="58" spans="1:28" s="802" customFormat="1" ht="24" customHeight="1">
      <c r="A58" s="797"/>
      <c r="B58" s="1275"/>
      <c r="C58" s="1276">
        <f t="shared" si="1"/>
      </c>
      <c r="D58" s="1289"/>
      <c r="E58" s="1276">
        <f t="shared" si="0"/>
      </c>
      <c r="F58" s="1287"/>
      <c r="G58" s="1278"/>
      <c r="H58" s="1278"/>
      <c r="I58" s="1278"/>
      <c r="J58" s="1279"/>
      <c r="K58" s="1280"/>
      <c r="L58" s="1281">
        <f t="shared" si="2"/>
      </c>
      <c r="M58" s="1282">
        <f t="shared" si="4"/>
      </c>
      <c r="N58" s="1281"/>
      <c r="O58" s="1280"/>
      <c r="P58" s="1278"/>
      <c r="Q58" s="1283"/>
      <c r="R58" s="1278"/>
      <c r="S58" s="1278">
        <f t="shared" si="3"/>
      </c>
      <c r="T58" s="1284"/>
      <c r="U58" s="1285"/>
      <c r="V58" s="1278"/>
      <c r="W58" s="1285"/>
      <c r="X58" s="1286"/>
      <c r="Y58" s="822"/>
      <c r="Z58" s="1345"/>
      <c r="AA58" s="1345"/>
      <c r="AB58" s="1345"/>
    </row>
    <row r="59" spans="1:28" s="802" customFormat="1" ht="24" customHeight="1">
      <c r="A59" s="797"/>
      <c r="B59" s="1275"/>
      <c r="C59" s="1276">
        <f t="shared" si="1"/>
      </c>
      <c r="D59" s="1289"/>
      <c r="E59" s="1276">
        <f t="shared" si="0"/>
      </c>
      <c r="F59" s="1287"/>
      <c r="G59" s="1278"/>
      <c r="H59" s="1278"/>
      <c r="I59" s="1278"/>
      <c r="J59" s="1279"/>
      <c r="K59" s="1280"/>
      <c r="L59" s="1281">
        <f t="shared" si="2"/>
      </c>
      <c r="M59" s="1282">
        <f t="shared" si="4"/>
      </c>
      <c r="N59" s="1281"/>
      <c r="O59" s="1280"/>
      <c r="P59" s="1278"/>
      <c r="Q59" s="1283"/>
      <c r="R59" s="1278"/>
      <c r="S59" s="1278">
        <f t="shared" si="3"/>
      </c>
      <c r="T59" s="1284"/>
      <c r="U59" s="1285"/>
      <c r="V59" s="1278"/>
      <c r="W59" s="1285"/>
      <c r="X59" s="1286"/>
      <c r="Y59" s="822"/>
      <c r="Z59" s="1345"/>
      <c r="AA59" s="1345"/>
      <c r="AB59" s="1345"/>
    </row>
    <row r="60" spans="1:28" s="802" customFormat="1" ht="24" customHeight="1">
      <c r="A60" s="797"/>
      <c r="B60" s="1275"/>
      <c r="C60" s="1276">
        <f t="shared" si="1"/>
      </c>
      <c r="D60" s="1289"/>
      <c r="E60" s="1276">
        <f t="shared" si="0"/>
      </c>
      <c r="F60" s="1287"/>
      <c r="G60" s="1278"/>
      <c r="H60" s="1278"/>
      <c r="I60" s="1278"/>
      <c r="J60" s="1279"/>
      <c r="K60" s="1280"/>
      <c r="L60" s="1281">
        <f t="shared" si="2"/>
      </c>
      <c r="M60" s="1282">
        <f t="shared" si="4"/>
      </c>
      <c r="N60" s="1281"/>
      <c r="O60" s="1280"/>
      <c r="P60" s="1278"/>
      <c r="Q60" s="1283"/>
      <c r="R60" s="1278"/>
      <c r="S60" s="1278">
        <f t="shared" si="3"/>
      </c>
      <c r="T60" s="1284"/>
      <c r="U60" s="1285"/>
      <c r="V60" s="1278"/>
      <c r="W60" s="1285"/>
      <c r="X60" s="1286"/>
      <c r="Y60" s="822"/>
      <c r="Z60" s="1345"/>
      <c r="AA60" s="1345"/>
      <c r="AB60" s="1345"/>
    </row>
    <row r="61" spans="1:28" s="802" customFormat="1" ht="24" customHeight="1">
      <c r="A61" s="797"/>
      <c r="B61" s="1275"/>
      <c r="C61" s="1276">
        <f t="shared" si="1"/>
      </c>
      <c r="D61" s="1289"/>
      <c r="E61" s="1276">
        <f t="shared" si="0"/>
      </c>
      <c r="F61" s="1287"/>
      <c r="G61" s="1278"/>
      <c r="H61" s="1278"/>
      <c r="I61" s="1278"/>
      <c r="J61" s="1279"/>
      <c r="K61" s="1280"/>
      <c r="L61" s="1281">
        <f t="shared" si="2"/>
      </c>
      <c r="M61" s="1282">
        <f t="shared" si="4"/>
      </c>
      <c r="N61" s="1281"/>
      <c r="O61" s="1280"/>
      <c r="P61" s="1278"/>
      <c r="Q61" s="1283"/>
      <c r="R61" s="1278"/>
      <c r="S61" s="1278">
        <f t="shared" si="3"/>
      </c>
      <c r="T61" s="1284"/>
      <c r="U61" s="1285"/>
      <c r="V61" s="1278"/>
      <c r="W61" s="1285"/>
      <c r="X61" s="1286"/>
      <c r="Y61" s="822"/>
      <c r="Z61" s="1345"/>
      <c r="AA61" s="1345"/>
      <c r="AB61" s="1345"/>
    </row>
    <row r="62" spans="1:28" s="802" customFormat="1" ht="24" customHeight="1">
      <c r="A62" s="797"/>
      <c r="B62" s="1275"/>
      <c r="C62" s="1276">
        <f t="shared" si="1"/>
      </c>
      <c r="D62" s="1289"/>
      <c r="E62" s="1276">
        <f t="shared" si="0"/>
      </c>
      <c r="F62" s="1287"/>
      <c r="G62" s="1278"/>
      <c r="H62" s="1278"/>
      <c r="I62" s="1278"/>
      <c r="J62" s="1279"/>
      <c r="K62" s="1280"/>
      <c r="L62" s="1281">
        <f t="shared" si="2"/>
      </c>
      <c r="M62" s="1282">
        <f t="shared" si="4"/>
      </c>
      <c r="N62" s="1281"/>
      <c r="O62" s="1280"/>
      <c r="P62" s="1278"/>
      <c r="Q62" s="1283"/>
      <c r="R62" s="1278"/>
      <c r="S62" s="1278">
        <f t="shared" si="3"/>
      </c>
      <c r="T62" s="1284"/>
      <c r="U62" s="1285"/>
      <c r="V62" s="1278"/>
      <c r="W62" s="1285"/>
      <c r="X62" s="1286"/>
      <c r="Y62" s="809"/>
      <c r="Z62" s="1345"/>
      <c r="AA62" s="1345"/>
      <c r="AB62" s="1345"/>
    </row>
    <row r="63" spans="1:28" s="802" customFormat="1" ht="24" customHeight="1">
      <c r="A63" s="797"/>
      <c r="B63" s="1275"/>
      <c r="C63" s="1276">
        <f t="shared" si="1"/>
      </c>
      <c r="D63" s="1289"/>
      <c r="E63" s="1276">
        <f t="shared" si="0"/>
      </c>
      <c r="F63" s="1287"/>
      <c r="G63" s="1278"/>
      <c r="H63" s="1278"/>
      <c r="I63" s="1278"/>
      <c r="J63" s="1279"/>
      <c r="K63" s="1280"/>
      <c r="L63" s="1281">
        <f t="shared" si="2"/>
      </c>
      <c r="M63" s="1282">
        <f t="shared" si="4"/>
      </c>
      <c r="N63" s="1281"/>
      <c r="O63" s="1280"/>
      <c r="P63" s="1278"/>
      <c r="Q63" s="1283"/>
      <c r="R63" s="1278"/>
      <c r="S63" s="1278">
        <f t="shared" si="3"/>
      </c>
      <c r="T63" s="1284"/>
      <c r="U63" s="1285"/>
      <c r="V63" s="1278"/>
      <c r="W63" s="1285"/>
      <c r="X63" s="1286"/>
      <c r="Y63" s="809"/>
      <c r="Z63" s="1345"/>
      <c r="AA63" s="1345"/>
      <c r="AB63" s="1345"/>
    </row>
    <row r="64" spans="1:28" s="802" customFormat="1" ht="24" customHeight="1">
      <c r="A64" s="797"/>
      <c r="B64" s="1275"/>
      <c r="C64" s="1276">
        <f t="shared" si="1"/>
      </c>
      <c r="D64" s="1289"/>
      <c r="E64" s="1276">
        <f t="shared" si="0"/>
      </c>
      <c r="F64" s="1287"/>
      <c r="G64" s="1278"/>
      <c r="H64" s="1278"/>
      <c r="I64" s="1278"/>
      <c r="J64" s="1279"/>
      <c r="K64" s="1280"/>
      <c r="L64" s="1281">
        <f t="shared" si="2"/>
      </c>
      <c r="M64" s="1282">
        <f t="shared" si="4"/>
      </c>
      <c r="N64" s="1281"/>
      <c r="O64" s="1280"/>
      <c r="P64" s="1278"/>
      <c r="Q64" s="1283"/>
      <c r="R64" s="1278"/>
      <c r="S64" s="1278">
        <f t="shared" si="3"/>
      </c>
      <c r="T64" s="1284"/>
      <c r="U64" s="1285"/>
      <c r="V64" s="1278"/>
      <c r="W64" s="1285"/>
      <c r="X64" s="1286"/>
      <c r="Y64" s="809"/>
      <c r="Z64" s="1345"/>
      <c r="AA64" s="1345"/>
      <c r="AB64" s="1345"/>
    </row>
    <row r="65" spans="1:28" s="802" customFormat="1" ht="24" customHeight="1">
      <c r="A65" s="797"/>
      <c r="B65" s="1275"/>
      <c r="C65" s="1276">
        <f t="shared" si="1"/>
      </c>
      <c r="D65" s="1289"/>
      <c r="E65" s="1276">
        <f t="shared" si="0"/>
      </c>
      <c r="F65" s="1287"/>
      <c r="G65" s="1278"/>
      <c r="H65" s="1278"/>
      <c r="I65" s="1278"/>
      <c r="J65" s="1279"/>
      <c r="K65" s="1280"/>
      <c r="L65" s="1281">
        <f t="shared" si="2"/>
      </c>
      <c r="M65" s="1282">
        <f t="shared" si="4"/>
      </c>
      <c r="N65" s="1281"/>
      <c r="O65" s="1280"/>
      <c r="P65" s="1278"/>
      <c r="Q65" s="1283"/>
      <c r="R65" s="1278"/>
      <c r="S65" s="1278">
        <f t="shared" si="3"/>
      </c>
      <c r="T65" s="1284"/>
      <c r="U65" s="1285"/>
      <c r="V65" s="1278"/>
      <c r="W65" s="1285"/>
      <c r="X65" s="1286"/>
      <c r="Y65" s="809"/>
      <c r="Z65" s="1345"/>
      <c r="AA65" s="1345"/>
      <c r="AB65" s="1345"/>
    </row>
    <row r="66" spans="1:28" s="802" customFormat="1" ht="24" customHeight="1">
      <c r="A66" s="797"/>
      <c r="B66" s="1275"/>
      <c r="C66" s="1276">
        <f t="shared" si="1"/>
      </c>
      <c r="D66" s="1289"/>
      <c r="E66" s="1276">
        <f t="shared" si="0"/>
      </c>
      <c r="F66" s="1287"/>
      <c r="G66" s="1278"/>
      <c r="H66" s="1278"/>
      <c r="I66" s="1278"/>
      <c r="J66" s="1279"/>
      <c r="K66" s="1280"/>
      <c r="L66" s="1281">
        <f t="shared" si="2"/>
      </c>
      <c r="M66" s="1282">
        <f t="shared" si="4"/>
      </c>
      <c r="N66" s="1281"/>
      <c r="O66" s="1280"/>
      <c r="P66" s="1278"/>
      <c r="Q66" s="1283"/>
      <c r="R66" s="1278"/>
      <c r="S66" s="1278">
        <f t="shared" si="3"/>
      </c>
      <c r="T66" s="1284"/>
      <c r="U66" s="1285"/>
      <c r="V66" s="1278"/>
      <c r="W66" s="1285"/>
      <c r="X66" s="1290"/>
      <c r="Y66" s="809"/>
      <c r="Z66" s="1345"/>
      <c r="AA66" s="1345"/>
      <c r="AB66" s="1345"/>
    </row>
    <row r="67" spans="1:28" s="802" customFormat="1" ht="24" customHeight="1">
      <c r="A67" s="797"/>
      <c r="B67" s="1275"/>
      <c r="C67" s="1276">
        <f t="shared" si="1"/>
      </c>
      <c r="D67" s="1289"/>
      <c r="E67" s="1276">
        <f t="shared" si="0"/>
      </c>
      <c r="F67" s="1287"/>
      <c r="G67" s="1278"/>
      <c r="H67" s="1278"/>
      <c r="I67" s="1278"/>
      <c r="J67" s="1279"/>
      <c r="K67" s="1280"/>
      <c r="L67" s="1281">
        <f t="shared" si="2"/>
      </c>
      <c r="M67" s="1282">
        <f t="shared" si="4"/>
      </c>
      <c r="N67" s="1281"/>
      <c r="O67" s="1280"/>
      <c r="P67" s="1278"/>
      <c r="Q67" s="1283"/>
      <c r="R67" s="1278"/>
      <c r="S67" s="1278">
        <f t="shared" si="3"/>
      </c>
      <c r="T67" s="1284"/>
      <c r="U67" s="1285"/>
      <c r="V67" s="1278"/>
      <c r="W67" s="1285"/>
      <c r="X67" s="1286"/>
      <c r="Y67" s="809"/>
      <c r="Z67" s="1345"/>
      <c r="AA67" s="1345"/>
      <c r="AB67" s="1345"/>
    </row>
    <row r="68" spans="1:28" s="802" customFormat="1" ht="24" customHeight="1">
      <c r="A68" s="797"/>
      <c r="B68" s="1275"/>
      <c r="C68" s="1276">
        <f t="shared" si="1"/>
      </c>
      <c r="D68" s="1289"/>
      <c r="E68" s="1276">
        <f t="shared" si="0"/>
      </c>
      <c r="F68" s="1287"/>
      <c r="G68" s="1278"/>
      <c r="H68" s="1278"/>
      <c r="I68" s="1278"/>
      <c r="J68" s="1279"/>
      <c r="K68" s="1280"/>
      <c r="L68" s="1281">
        <f t="shared" si="2"/>
      </c>
      <c r="M68" s="1282">
        <f t="shared" si="4"/>
      </c>
      <c r="N68" s="1281"/>
      <c r="O68" s="1280"/>
      <c r="P68" s="1278"/>
      <c r="Q68" s="1283"/>
      <c r="R68" s="1278"/>
      <c r="S68" s="1278">
        <f t="shared" si="3"/>
      </c>
      <c r="T68" s="1284"/>
      <c r="U68" s="1285"/>
      <c r="V68" s="1278"/>
      <c r="W68" s="1285"/>
      <c r="X68" s="1290"/>
      <c r="Y68" s="809"/>
      <c r="Z68" s="1345"/>
      <c r="AA68" s="1345"/>
      <c r="AB68" s="1345"/>
    </row>
    <row r="69" spans="1:28" s="802" customFormat="1" ht="24" customHeight="1">
      <c r="A69" s="797"/>
      <c r="B69" s="1275"/>
      <c r="C69" s="1276"/>
      <c r="D69" s="1289"/>
      <c r="E69" s="1276"/>
      <c r="F69" s="1287"/>
      <c r="G69" s="1278"/>
      <c r="H69" s="1278"/>
      <c r="I69" s="1278"/>
      <c r="J69" s="1279"/>
      <c r="K69" s="1280"/>
      <c r="L69" s="1281"/>
      <c r="M69" s="1282"/>
      <c r="N69" s="1281"/>
      <c r="O69" s="1280"/>
      <c r="P69" s="1278"/>
      <c r="Q69" s="1283"/>
      <c r="R69" s="1278"/>
      <c r="S69" s="1278"/>
      <c r="T69" s="1284"/>
      <c r="U69" s="1285"/>
      <c r="V69" s="1278"/>
      <c r="W69" s="1285"/>
      <c r="X69" s="1290"/>
      <c r="Y69" s="809"/>
      <c r="Z69" s="1345"/>
      <c r="AA69" s="1345"/>
      <c r="AB69" s="1345"/>
    </row>
    <row r="70" spans="1:28" s="802" customFormat="1" ht="24" customHeight="1">
      <c r="A70" s="797"/>
      <c r="B70" s="1275"/>
      <c r="C70" s="1276"/>
      <c r="D70" s="1289"/>
      <c r="E70" s="1276"/>
      <c r="F70" s="1287"/>
      <c r="G70" s="1278"/>
      <c r="H70" s="1278"/>
      <c r="I70" s="1278"/>
      <c r="J70" s="1279"/>
      <c r="K70" s="1280"/>
      <c r="L70" s="1281"/>
      <c r="M70" s="1282"/>
      <c r="N70" s="1281"/>
      <c r="O70" s="1280"/>
      <c r="P70" s="1278"/>
      <c r="Q70" s="1283"/>
      <c r="R70" s="1278"/>
      <c r="S70" s="1278"/>
      <c r="T70" s="1284"/>
      <c r="U70" s="1285"/>
      <c r="V70" s="1278"/>
      <c r="W70" s="1285"/>
      <c r="X70" s="1290"/>
      <c r="Y70" s="809"/>
      <c r="Z70" s="1345"/>
      <c r="AA70" s="1345"/>
      <c r="AB70" s="1345"/>
    </row>
    <row r="71" spans="1:28" s="802" customFormat="1" ht="24" customHeight="1">
      <c r="A71" s="797"/>
      <c r="B71" s="1275"/>
      <c r="C71" s="1276">
        <f t="shared" si="1"/>
      </c>
      <c r="D71" s="1289"/>
      <c r="E71" s="1276">
        <f t="shared" si="0"/>
      </c>
      <c r="F71" s="1287"/>
      <c r="G71" s="1278"/>
      <c r="H71" s="1278"/>
      <c r="I71" s="1278"/>
      <c r="J71" s="1279"/>
      <c r="K71" s="1280"/>
      <c r="L71" s="1281">
        <f t="shared" si="2"/>
      </c>
      <c r="M71" s="1282">
        <f t="shared" si="4"/>
      </c>
      <c r="N71" s="1281"/>
      <c r="O71" s="1592" t="s">
        <v>652</v>
      </c>
      <c r="P71" s="1591"/>
      <c r="Q71" s="1350">
        <f>'法面積集計表'!D52</f>
        <v>734.5</v>
      </c>
      <c r="R71" s="1278"/>
      <c r="S71" s="1278">
        <f t="shared" si="3"/>
      </c>
      <c r="T71" s="1284"/>
      <c r="U71" s="1285"/>
      <c r="V71" s="1278"/>
      <c r="W71" s="1285"/>
      <c r="X71" s="1286"/>
      <c r="Y71" s="809"/>
      <c r="Z71" s="1345"/>
      <c r="AA71" s="1345"/>
      <c r="AB71" s="1345"/>
    </row>
    <row r="72" spans="1:28" s="802" customFormat="1" ht="24" customHeight="1">
      <c r="A72" s="797"/>
      <c r="B72" s="1275"/>
      <c r="C72" s="1276">
        <f t="shared" si="1"/>
      </c>
      <c r="D72" s="1289"/>
      <c r="E72" s="1276">
        <f t="shared" si="0"/>
      </c>
      <c r="F72" s="1287"/>
      <c r="G72" s="1278"/>
      <c r="H72" s="1278"/>
      <c r="I72" s="1278"/>
      <c r="J72" s="1279"/>
      <c r="K72" s="1280"/>
      <c r="L72" s="1281">
        <f t="shared" si="2"/>
      </c>
      <c r="M72" s="1282">
        <f t="shared" si="4"/>
      </c>
      <c r="N72" s="1281"/>
      <c r="O72" s="1592" t="s">
        <v>653</v>
      </c>
      <c r="P72" s="1591"/>
      <c r="Q72" s="1352">
        <f>'法面積集計表'!F52</f>
        <v>806.6499999999999</v>
      </c>
      <c r="R72" s="1278"/>
      <c r="S72" s="1278"/>
      <c r="T72" s="1284"/>
      <c r="U72" s="1285"/>
      <c r="V72" s="1278"/>
      <c r="W72" s="1285"/>
      <c r="X72" s="1286"/>
      <c r="Y72" s="809"/>
      <c r="Z72" s="1345"/>
      <c r="AA72" s="1345"/>
      <c r="AB72" s="1345"/>
    </row>
    <row r="73" spans="1:28" s="802" customFormat="1" ht="24" customHeight="1">
      <c r="A73" s="797"/>
      <c r="B73" s="1275"/>
      <c r="C73" s="1276">
        <f>IF(D73="","","-")</f>
      </c>
      <c r="D73" s="1289"/>
      <c r="E73" s="1276">
        <f>IF(F73="","","-")</f>
      </c>
      <c r="F73" s="1287"/>
      <c r="G73" s="1278"/>
      <c r="H73" s="1278"/>
      <c r="I73" s="1278"/>
      <c r="J73" s="1279"/>
      <c r="K73" s="1280"/>
      <c r="L73" s="1281">
        <f>IF(ISBLANK(G73),"",G73)</f>
      </c>
      <c r="M73" s="1282">
        <f>IF(ISBLANK(H73),"",H73)</f>
      </c>
      <c r="N73" s="1281"/>
      <c r="O73" s="1280"/>
      <c r="P73" s="1278"/>
      <c r="Q73" s="1283"/>
      <c r="R73" s="1278"/>
      <c r="S73" s="1278">
        <f>IF(ISBLANK(H73),"",H73)</f>
      </c>
      <c r="T73" s="1284"/>
      <c r="U73" s="1285"/>
      <c r="V73" s="1278"/>
      <c r="W73" s="1285"/>
      <c r="X73" s="1286"/>
      <c r="Y73" s="822"/>
      <c r="Z73" s="1345"/>
      <c r="AA73" s="1345"/>
      <c r="AB73" s="1345"/>
    </row>
    <row r="74" spans="1:28" s="802" customFormat="1" ht="24" customHeight="1">
      <c r="A74" s="797"/>
      <c r="B74" s="1291"/>
      <c r="C74" s="1276" t="s">
        <v>283</v>
      </c>
      <c r="D74" s="1292"/>
      <c r="E74" s="1276">
        <f>IF(ISBLANK(F74),"","-")</f>
      </c>
      <c r="F74" s="1293"/>
      <c r="G74" s="1278">
        <f aca="true" t="shared" si="10" ref="G74:M74">SUM(G10:G73)</f>
        <v>0</v>
      </c>
      <c r="H74" s="1278">
        <f>SUM(H10:H73)</f>
        <v>94111</v>
      </c>
      <c r="I74" s="1294">
        <f t="shared" si="10"/>
        <v>58780</v>
      </c>
      <c r="J74" s="1288">
        <f t="shared" si="10"/>
        <v>0</v>
      </c>
      <c r="K74" s="1295">
        <f t="shared" si="10"/>
        <v>0</v>
      </c>
      <c r="L74" s="1294">
        <f t="shared" si="10"/>
        <v>0</v>
      </c>
      <c r="M74" s="1295">
        <f t="shared" si="10"/>
        <v>35331</v>
      </c>
      <c r="N74" s="1590">
        <f>'運搬土　田'!P13+'運搬土　畑'!R14</f>
        <v>0</v>
      </c>
      <c r="O74" s="1591"/>
      <c r="P74" s="1278"/>
      <c r="Q74" s="1351">
        <f>SUM(Q10:Q60)</f>
        <v>1541.1499999999999</v>
      </c>
      <c r="R74" s="1278">
        <f>'伐採'!E59</f>
        <v>0</v>
      </c>
      <c r="S74" s="1281">
        <f>SUM(S10:S73)</f>
        <v>94111</v>
      </c>
      <c r="T74" s="1278"/>
      <c r="U74" s="1296"/>
      <c r="V74" s="1297">
        <f>'旧構造物撤去'!L70</f>
      </c>
      <c r="W74" s="1298">
        <f>'旧構造物撤去'!O70</f>
      </c>
      <c r="X74" s="1299">
        <f>'旧構造物撤去'!F70</f>
      </c>
      <c r="Y74" s="809"/>
      <c r="Z74" s="1345"/>
      <c r="AA74" s="1345"/>
      <c r="AB74" s="1345"/>
    </row>
    <row r="75" spans="1:28" s="802" customFormat="1" ht="24" customHeight="1">
      <c r="A75" s="824"/>
      <c r="B75" s="825"/>
      <c r="C75" s="826"/>
      <c r="D75" s="827"/>
      <c r="E75" s="826"/>
      <c r="F75" s="828"/>
      <c r="G75" s="808"/>
      <c r="H75" s="808"/>
      <c r="I75" s="808"/>
      <c r="J75" s="829"/>
      <c r="K75" s="800"/>
      <c r="L75" s="808"/>
      <c r="M75" s="830"/>
      <c r="N75" s="808"/>
      <c r="O75" s="831"/>
      <c r="P75" s="808"/>
      <c r="Q75" s="808"/>
      <c r="R75" s="808"/>
      <c r="S75" s="808"/>
      <c r="T75" s="808"/>
      <c r="U75" s="811"/>
      <c r="V75" s="808"/>
      <c r="W75" s="811"/>
      <c r="X75" s="965" t="s">
        <v>572</v>
      </c>
      <c r="Y75" s="809"/>
      <c r="Z75" s="1345"/>
      <c r="AA75" s="1345"/>
      <c r="AB75" s="1345"/>
    </row>
    <row r="76" spans="1:28" s="802" customFormat="1" ht="24" customHeight="1" thickBot="1">
      <c r="A76" s="832"/>
      <c r="B76" s="833"/>
      <c r="C76" s="834"/>
      <c r="D76" s="835"/>
      <c r="E76" s="834"/>
      <c r="F76" s="836"/>
      <c r="G76" s="837" t="s">
        <v>273</v>
      </c>
      <c r="H76" s="837" t="s">
        <v>273</v>
      </c>
      <c r="I76" s="837" t="s">
        <v>273</v>
      </c>
      <c r="J76" s="838" t="s">
        <v>273</v>
      </c>
      <c r="K76" s="839" t="s">
        <v>273</v>
      </c>
      <c r="L76" s="837" t="s">
        <v>273</v>
      </c>
      <c r="M76" s="840" t="s">
        <v>273</v>
      </c>
      <c r="N76" s="841"/>
      <c r="O76" s="839" t="s">
        <v>274</v>
      </c>
      <c r="P76" s="837" t="s">
        <v>275</v>
      </c>
      <c r="Q76" s="837" t="s">
        <v>273</v>
      </c>
      <c r="R76" s="837" t="s">
        <v>273</v>
      </c>
      <c r="S76" s="837" t="s">
        <v>273</v>
      </c>
      <c r="T76" s="837" t="s">
        <v>274</v>
      </c>
      <c r="U76" s="840" t="s">
        <v>274</v>
      </c>
      <c r="V76" s="837" t="s">
        <v>274</v>
      </c>
      <c r="W76" s="840" t="s">
        <v>274</v>
      </c>
      <c r="X76" s="842" t="s">
        <v>274</v>
      </c>
      <c r="Y76" s="809"/>
      <c r="Z76" s="1345"/>
      <c r="AA76" s="1345"/>
      <c r="AB76" s="1345"/>
    </row>
    <row r="77" spans="1:28" s="802" customFormat="1" ht="24" customHeight="1" thickTop="1">
      <c r="A77" s="797"/>
      <c r="B77" s="1600" t="s">
        <v>266</v>
      </c>
      <c r="C77" s="1601"/>
      <c r="D77" s="1601"/>
      <c r="E77" s="1601"/>
      <c r="F77" s="1602"/>
      <c r="G77" s="808"/>
      <c r="H77" s="810"/>
      <c r="I77" s="808"/>
      <c r="J77" s="811"/>
      <c r="K77" s="812" t="s">
        <v>54</v>
      </c>
      <c r="L77" s="808"/>
      <c r="M77" s="811"/>
      <c r="N77" s="808"/>
      <c r="O77" s="800"/>
      <c r="P77" s="813" t="s">
        <v>55</v>
      </c>
      <c r="Q77" s="813" t="s">
        <v>56</v>
      </c>
      <c r="R77" s="813" t="s">
        <v>57</v>
      </c>
      <c r="S77" s="813" t="s">
        <v>58</v>
      </c>
      <c r="T77" s="808"/>
      <c r="U77" s="811"/>
      <c r="V77" s="813" t="s">
        <v>59</v>
      </c>
      <c r="W77" s="812" t="s">
        <v>60</v>
      </c>
      <c r="X77" s="814"/>
      <c r="Y77" s="809"/>
      <c r="Z77" s="1345"/>
      <c r="AA77" s="1345"/>
      <c r="AB77" s="1345"/>
    </row>
    <row r="78" spans="1:28" s="802" customFormat="1" ht="24" customHeight="1">
      <c r="A78" s="797"/>
      <c r="B78" s="1606" t="s">
        <v>61</v>
      </c>
      <c r="C78" s="1604"/>
      <c r="D78" s="1604"/>
      <c r="E78" s="1604"/>
      <c r="F78" s="1605"/>
      <c r="G78" s="843" t="s">
        <v>267</v>
      </c>
      <c r="H78" s="843" t="s">
        <v>268</v>
      </c>
      <c r="I78" s="843" t="s">
        <v>269</v>
      </c>
      <c r="J78" s="844" t="s">
        <v>270</v>
      </c>
      <c r="K78" s="845" t="s">
        <v>62</v>
      </c>
      <c r="L78" s="843" t="s">
        <v>271</v>
      </c>
      <c r="M78" s="844" t="s">
        <v>268</v>
      </c>
      <c r="N78" s="1611" t="s">
        <v>63</v>
      </c>
      <c r="O78" s="1612"/>
      <c r="P78" s="846" t="s">
        <v>64</v>
      </c>
      <c r="Q78" s="813" t="s">
        <v>1</v>
      </c>
      <c r="R78" s="813" t="s">
        <v>65</v>
      </c>
      <c r="S78" s="813" t="s">
        <v>66</v>
      </c>
      <c r="T78" s="847" t="s">
        <v>67</v>
      </c>
      <c r="U78" s="845" t="s">
        <v>68</v>
      </c>
      <c r="V78" s="843" t="s">
        <v>272</v>
      </c>
      <c r="W78" s="844" t="s">
        <v>272</v>
      </c>
      <c r="X78" s="848" t="s">
        <v>69</v>
      </c>
      <c r="Y78" s="809"/>
      <c r="Z78" s="1345"/>
      <c r="AA78" s="1345"/>
      <c r="AB78" s="1345"/>
    </row>
    <row r="79" spans="1:28" s="802" customFormat="1" ht="24" customHeight="1" thickBot="1">
      <c r="A79" s="797"/>
      <c r="B79" s="849"/>
      <c r="C79" s="804"/>
      <c r="D79" s="803"/>
      <c r="E79" s="804"/>
      <c r="F79" s="803"/>
      <c r="G79" s="1588" t="s">
        <v>261</v>
      </c>
      <c r="H79" s="1589"/>
      <c r="I79" s="1588" t="s">
        <v>262</v>
      </c>
      <c r="J79" s="1589"/>
      <c r="K79" s="1589"/>
      <c r="L79" s="1588" t="s">
        <v>263</v>
      </c>
      <c r="M79" s="1589"/>
      <c r="N79" s="850"/>
      <c r="O79" s="806"/>
      <c r="P79" s="850"/>
      <c r="Q79" s="850"/>
      <c r="R79" s="850"/>
      <c r="S79" s="850"/>
      <c r="T79" s="1588" t="s">
        <v>264</v>
      </c>
      <c r="U79" s="1589"/>
      <c r="V79" s="1588" t="s">
        <v>265</v>
      </c>
      <c r="W79" s="1589"/>
      <c r="X79" s="1599"/>
      <c r="Y79" s="809"/>
      <c r="Z79" s="1345"/>
      <c r="AA79" s="1345"/>
      <c r="AB79" s="1345"/>
    </row>
    <row r="80" spans="1:25" ht="17.25">
      <c r="A80" s="788"/>
      <c r="B80" s="789"/>
      <c r="C80" s="790"/>
      <c r="D80" s="789"/>
      <c r="E80" s="790"/>
      <c r="F80" s="789"/>
      <c r="G80" s="791"/>
      <c r="H80" s="792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</row>
    <row r="81" spans="1:25" ht="17.25">
      <c r="A81" s="788"/>
      <c r="B81" s="789"/>
      <c r="C81" s="790"/>
      <c r="D81" s="789"/>
      <c r="E81" s="790"/>
      <c r="F81" s="789"/>
      <c r="G81" s="791"/>
      <c r="H81" s="792"/>
      <c r="I81" s="791"/>
      <c r="J81" s="791"/>
      <c r="K81" s="791"/>
      <c r="L81" s="791"/>
      <c r="M81" s="791"/>
      <c r="N81" s="791"/>
      <c r="O81" s="791"/>
      <c r="P81" s="791"/>
      <c r="Q81" s="791"/>
      <c r="R81" s="791"/>
      <c r="S81" s="791"/>
      <c r="T81" s="791"/>
      <c r="U81" s="791"/>
      <c r="V81" s="791"/>
      <c r="W81" s="791"/>
      <c r="X81" s="791"/>
      <c r="Y81" s="791"/>
    </row>
    <row r="82" spans="1:25" ht="17.25">
      <c r="A82" s="788"/>
      <c r="B82" s="789"/>
      <c r="C82" s="790"/>
      <c r="D82" s="789"/>
      <c r="E82" s="790"/>
      <c r="F82" s="789"/>
      <c r="G82" s="791"/>
      <c r="H82" s="792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</row>
    <row r="83" spans="1:25" ht="17.25">
      <c r="A83" s="788"/>
      <c r="B83" s="789"/>
      <c r="C83" s="790"/>
      <c r="D83" s="789"/>
      <c r="E83" s="790"/>
      <c r="F83" s="789"/>
      <c r="G83" s="791"/>
      <c r="H83" s="792"/>
      <c r="I83" s="791"/>
      <c r="J83" s="791"/>
      <c r="K83" s="791"/>
      <c r="L83" s="791"/>
      <c r="M83" s="791"/>
      <c r="N83" s="791"/>
      <c r="O83" s="791"/>
      <c r="P83" s="791"/>
      <c r="Q83" s="791"/>
      <c r="R83" s="791"/>
      <c r="S83" s="791"/>
      <c r="T83" s="791"/>
      <c r="U83" s="791"/>
      <c r="V83" s="791"/>
      <c r="W83" s="791"/>
      <c r="X83" s="791"/>
      <c r="Y83" s="791"/>
    </row>
    <row r="84" spans="1:25" ht="17.25">
      <c r="A84" s="788"/>
      <c r="B84" s="789"/>
      <c r="C84" s="790"/>
      <c r="D84" s="789"/>
      <c r="E84" s="790"/>
      <c r="F84" s="789"/>
      <c r="G84" s="791"/>
      <c r="H84" s="792"/>
      <c r="I84" s="791"/>
      <c r="J84" s="791"/>
      <c r="K84" s="791"/>
      <c r="L84" s="791"/>
      <c r="M84" s="791"/>
      <c r="N84" s="791"/>
      <c r="O84" s="791"/>
      <c r="P84" s="791"/>
      <c r="Q84" s="791"/>
      <c r="R84" s="791"/>
      <c r="S84" s="791"/>
      <c r="T84" s="791"/>
      <c r="U84" s="791"/>
      <c r="V84" s="791"/>
      <c r="W84" s="791"/>
      <c r="X84" s="791"/>
      <c r="Y84" s="791"/>
    </row>
    <row r="85" spans="1:25" ht="17.25">
      <c r="A85" s="788"/>
      <c r="B85" s="789"/>
      <c r="C85" s="790"/>
      <c r="D85" s="789"/>
      <c r="E85" s="790"/>
      <c r="F85" s="789"/>
      <c r="G85" s="791"/>
      <c r="H85" s="792"/>
      <c r="I85" s="791"/>
      <c r="J85" s="791"/>
      <c r="K85" s="791"/>
      <c r="L85" s="791"/>
      <c r="M85" s="791"/>
      <c r="N85" s="791"/>
      <c r="O85" s="791"/>
      <c r="P85" s="791"/>
      <c r="Q85" s="791"/>
      <c r="R85" s="791"/>
      <c r="S85" s="791"/>
      <c r="T85" s="791"/>
      <c r="U85" s="791"/>
      <c r="V85" s="791"/>
      <c r="W85" s="791"/>
      <c r="X85" s="791"/>
      <c r="Y85" s="791"/>
    </row>
    <row r="86" spans="1:25" ht="17.25">
      <c r="A86" s="788"/>
      <c r="B86" s="789"/>
      <c r="C86" s="790"/>
      <c r="D86" s="789"/>
      <c r="E86" s="790"/>
      <c r="F86" s="789"/>
      <c r="G86" s="791"/>
      <c r="H86" s="792"/>
      <c r="I86" s="791"/>
      <c r="J86" s="791"/>
      <c r="K86" s="791"/>
      <c r="L86" s="791"/>
      <c r="M86" s="791"/>
      <c r="N86" s="791"/>
      <c r="O86" s="791"/>
      <c r="P86" s="791"/>
      <c r="Q86" s="791"/>
      <c r="R86" s="791"/>
      <c r="S86" s="791"/>
      <c r="T86" s="791"/>
      <c r="U86" s="791"/>
      <c r="V86" s="791"/>
      <c r="W86" s="791"/>
      <c r="X86" s="791"/>
      <c r="Y86" s="791"/>
    </row>
  </sheetData>
  <sheetProtection/>
  <mergeCells count="23">
    <mergeCell ref="V79:X79"/>
    <mergeCell ref="B77:F77"/>
    <mergeCell ref="B6:F6"/>
    <mergeCell ref="B78:F78"/>
    <mergeCell ref="B42:F42"/>
    <mergeCell ref="H42:W42"/>
    <mergeCell ref="N78:O78"/>
    <mergeCell ref="B7:F7"/>
    <mergeCell ref="T79:U79"/>
    <mergeCell ref="O71:P71"/>
    <mergeCell ref="G2:W2"/>
    <mergeCell ref="G5:H5"/>
    <mergeCell ref="I5:K5"/>
    <mergeCell ref="L5:M5"/>
    <mergeCell ref="T5:U5"/>
    <mergeCell ref="V5:X5"/>
    <mergeCell ref="K4:L4"/>
    <mergeCell ref="N7:O7"/>
    <mergeCell ref="G79:H79"/>
    <mergeCell ref="I79:K79"/>
    <mergeCell ref="N74:O74"/>
    <mergeCell ref="L79:M79"/>
    <mergeCell ref="O72:P72"/>
  </mergeCells>
  <printOptions horizontalCentered="1"/>
  <pageMargins left="0.5905511811023623" right="0" top="0.5905511811023623" bottom="0.1968503937007874" header="0" footer="0"/>
  <pageSetup horizontalDpi="300" verticalDpi="3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N70"/>
  <sheetViews>
    <sheetView view="pageBreakPreview" zoomScale="80" zoomScaleNormal="200" zoomScaleSheetLayoutView="80" zoomScalePageLayoutView="0" workbookViewId="0" topLeftCell="A1">
      <selection activeCell="T34" sqref="T34"/>
    </sheetView>
  </sheetViews>
  <sheetFormatPr defaultColWidth="8.625" defaultRowHeight="13.5"/>
  <cols>
    <col min="1" max="3" width="3.625" style="131" customWidth="1"/>
    <col min="4" max="4" width="5.625" style="131" customWidth="1"/>
    <col min="5" max="5" width="10.125" style="131" customWidth="1"/>
    <col min="6" max="6" width="3.625" style="131" customWidth="1"/>
    <col min="7" max="7" width="3.125" style="131" customWidth="1"/>
    <col min="8" max="8" width="5.625" style="131" customWidth="1"/>
    <col min="9" max="9" width="4.625" style="131" customWidth="1"/>
    <col min="10" max="10" width="9.625" style="131" customWidth="1"/>
    <col min="11" max="11" width="4.625" style="131" customWidth="1"/>
    <col min="12" max="12" width="9.625" style="131" customWidth="1"/>
    <col min="13" max="13" width="4.625" style="131" customWidth="1"/>
    <col min="14" max="14" width="7.50390625" style="131" customWidth="1"/>
    <col min="15" max="15" width="4.625" style="131" customWidth="1"/>
    <col min="16" max="16" width="8.00390625" style="131" customWidth="1"/>
    <col min="17" max="17" width="4.625" style="131" customWidth="1"/>
    <col min="18" max="18" width="8.00390625" style="131" customWidth="1"/>
    <col min="19" max="19" width="4.625" style="131" customWidth="1"/>
    <col min="20" max="20" width="9.50390625" style="131" customWidth="1"/>
    <col min="21" max="21" width="7.25390625" style="131" customWidth="1"/>
    <col min="22" max="22" width="14.625" style="131" customWidth="1"/>
    <col min="23" max="23" width="8.375" style="131" customWidth="1"/>
    <col min="24" max="24" width="8.625" style="131" customWidth="1"/>
    <col min="25" max="25" width="8.50390625" style="131" customWidth="1"/>
    <col min="26" max="26" width="6.75390625" style="131" customWidth="1"/>
    <col min="27" max="27" width="8.50390625" style="131" customWidth="1"/>
    <col min="28" max="28" width="6.75390625" style="131" customWidth="1"/>
    <col min="29" max="29" width="6.625" style="131" customWidth="1"/>
    <col min="30" max="30" width="7.125" style="131" customWidth="1"/>
    <col min="31" max="31" width="9.125" style="131" customWidth="1"/>
    <col min="32" max="32" width="14.625" style="131" customWidth="1"/>
    <col min="33" max="33" width="15.625" style="131" customWidth="1"/>
    <col min="34" max="35" width="8.625" style="131" customWidth="1"/>
    <col min="36" max="56" width="8.50390625" style="131" customWidth="1"/>
    <col min="57" max="16384" width="8.625" style="131" customWidth="1"/>
  </cols>
  <sheetData>
    <row r="1" spans="1:40" s="143" customFormat="1" ht="24" customHeight="1">
      <c r="A1" s="1671" t="s">
        <v>134</v>
      </c>
      <c r="B1" s="1671"/>
      <c r="C1" s="1672" t="s">
        <v>135</v>
      </c>
      <c r="D1" s="1672"/>
      <c r="E1" s="1683" t="s">
        <v>136</v>
      </c>
      <c r="F1" s="1683"/>
      <c r="G1" s="1683"/>
      <c r="H1" s="1683"/>
      <c r="I1" s="1683"/>
      <c r="J1" s="1683"/>
      <c r="K1" s="146">
        <v>1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</row>
    <row r="2" spans="1:40" s="143" customFormat="1" ht="24" customHeight="1">
      <c r="A2" s="147"/>
      <c r="C2" s="1672" t="s">
        <v>137</v>
      </c>
      <c r="D2" s="1672"/>
      <c r="E2" s="1682" t="s">
        <v>138</v>
      </c>
      <c r="F2" s="1682"/>
      <c r="G2" s="1682"/>
      <c r="H2" s="1682"/>
      <c r="I2" s="1682"/>
      <c r="J2" s="1682"/>
      <c r="K2" s="146">
        <v>20</v>
      </c>
      <c r="P2" s="148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</row>
    <row r="3" spans="1:40" s="143" customFormat="1" ht="24" customHeight="1">
      <c r="A3" s="147"/>
      <c r="C3" s="1672" t="s">
        <v>139</v>
      </c>
      <c r="D3" s="1672"/>
      <c r="E3" s="1687" t="s">
        <v>140</v>
      </c>
      <c r="F3" s="1688"/>
      <c r="G3" s="1688"/>
      <c r="H3" s="1688"/>
      <c r="I3" s="1688"/>
      <c r="J3" s="1688"/>
      <c r="K3" s="146">
        <v>3</v>
      </c>
      <c r="L3" s="2"/>
      <c r="N3" s="145"/>
      <c r="P3" s="148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</row>
    <row r="4" spans="1:40" s="134" customFormat="1" ht="45" customHeight="1">
      <c r="A4" s="132"/>
      <c r="B4" s="132"/>
      <c r="C4" s="132"/>
      <c r="D4" s="132"/>
      <c r="E4" s="1684" t="s">
        <v>327</v>
      </c>
      <c r="F4" s="1685"/>
      <c r="G4" s="1685"/>
      <c r="H4" s="1685"/>
      <c r="I4" s="1685"/>
      <c r="J4" s="1685"/>
      <c r="K4" s="1685"/>
      <c r="L4" s="1685"/>
      <c r="M4" s="1685"/>
      <c r="N4" s="1685"/>
      <c r="O4" s="1685"/>
      <c r="P4" s="1685"/>
      <c r="Q4" s="1685"/>
      <c r="R4" s="1685"/>
      <c r="S4" s="1685"/>
      <c r="T4" s="1685"/>
      <c r="U4" s="1685"/>
      <c r="V4" s="1685"/>
      <c r="W4" s="1685"/>
      <c r="X4" s="1685"/>
      <c r="Y4" s="1685"/>
      <c r="Z4" s="1685"/>
      <c r="AA4" s="1685"/>
      <c r="AB4" s="1685"/>
      <c r="AC4" s="1685"/>
      <c r="AD4" s="1685"/>
      <c r="AE4" s="133"/>
      <c r="AF4" s="133"/>
      <c r="AG4" s="133"/>
      <c r="AH4" s="133"/>
      <c r="AI4" s="133"/>
      <c r="AJ4" s="132"/>
      <c r="AK4" s="132"/>
      <c r="AL4" s="132"/>
      <c r="AM4" s="132"/>
      <c r="AN4" s="132"/>
    </row>
    <row r="5" spans="1:40" s="137" customFormat="1" ht="24" customHeight="1">
      <c r="A5" s="135"/>
      <c r="B5" s="135"/>
      <c r="C5" s="136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>
        <v>1</v>
      </c>
      <c r="AC5" s="135"/>
      <c r="AD5" s="135"/>
      <c r="AE5" s="562" t="s">
        <v>341</v>
      </c>
      <c r="AF5" s="135"/>
      <c r="AG5" s="135"/>
      <c r="AH5" s="135"/>
      <c r="AI5" s="135"/>
      <c r="AJ5" s="135"/>
      <c r="AK5" s="135"/>
      <c r="AL5" s="135"/>
      <c r="AM5" s="135"/>
      <c r="AN5" s="135"/>
    </row>
    <row r="6" spans="1:40" s="137" customFormat="1" ht="24" customHeight="1">
      <c r="A6" s="135"/>
      <c r="B6" s="135"/>
      <c r="C6" s="221" t="s">
        <v>141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</row>
    <row r="7" spans="1:40" s="137" customFormat="1" ht="24" customHeight="1">
      <c r="A7" s="135"/>
      <c r="B7" s="135"/>
      <c r="C7" s="221"/>
      <c r="D7" s="222" t="s">
        <v>142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s="137" customFormat="1" ht="24" customHeight="1">
      <c r="A8" s="135"/>
      <c r="B8" s="135"/>
      <c r="C8" s="221"/>
      <c r="D8" s="223" t="s">
        <v>143</v>
      </c>
      <c r="E8" s="224"/>
      <c r="F8" s="224"/>
      <c r="G8" s="224"/>
      <c r="H8" s="224"/>
      <c r="I8" s="224"/>
      <c r="J8" s="224"/>
      <c r="K8" s="224"/>
      <c r="L8" s="224"/>
      <c r="M8" s="224"/>
      <c r="N8" s="396">
        <f>'基礎資料．畦畔延長'!F67/10000</f>
        <v>0</v>
      </c>
      <c r="O8" s="226" t="s">
        <v>144</v>
      </c>
      <c r="P8" s="227">
        <f>'基礎資料．畦畔延長'!O67</f>
        <v>0</v>
      </c>
      <c r="Q8" s="226" t="s">
        <v>145</v>
      </c>
      <c r="R8" s="226" t="e">
        <f>ROUND(N8/P8,2)</f>
        <v>#DIV/0!</v>
      </c>
      <c r="S8" s="222" t="s">
        <v>146</v>
      </c>
      <c r="T8" s="231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s="137" customFormat="1" ht="24" customHeight="1">
      <c r="A9" s="135"/>
      <c r="B9" s="135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6"/>
      <c r="R9" s="222"/>
      <c r="S9" s="222"/>
      <c r="T9" s="222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s="137" customFormat="1" ht="24" customHeight="1">
      <c r="A10" s="135"/>
      <c r="B10" s="135"/>
      <c r="C10" s="221"/>
      <c r="D10" s="224" t="s">
        <v>147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135"/>
      <c r="V10" s="135"/>
      <c r="W10" s="135"/>
      <c r="X10" s="135"/>
      <c r="Y10" s="135"/>
      <c r="Z10" s="135"/>
      <c r="AA10" s="135"/>
      <c r="AB10" s="135"/>
      <c r="AC10" s="135" t="s">
        <v>487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1:40" s="137" customFormat="1" ht="24" customHeight="1">
      <c r="A11" s="135"/>
      <c r="B11" s="135"/>
      <c r="C11" s="221"/>
      <c r="D11" s="223" t="s">
        <v>148</v>
      </c>
      <c r="E11" s="224"/>
      <c r="F11" s="228">
        <v>1</v>
      </c>
      <c r="G11" s="229" t="s">
        <v>149</v>
      </c>
      <c r="H11" s="226" t="e">
        <f>'基礎資料．畦畔延長'!I67</f>
        <v>#DIV/0!</v>
      </c>
      <c r="I11" s="226" t="s">
        <v>145</v>
      </c>
      <c r="J11" s="230" t="e">
        <f>ROUND(F11/H11,3)</f>
        <v>#DIV/0!</v>
      </c>
      <c r="K11" s="230"/>
      <c r="L11" s="230"/>
      <c r="M11" s="230"/>
      <c r="N11" s="222"/>
      <c r="O11" s="222"/>
      <c r="P11" s="222"/>
      <c r="Q11" s="222"/>
      <c r="R11" s="222"/>
      <c r="S11" s="222"/>
      <c r="T11" s="222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s="137" customFormat="1" ht="24" customHeight="1">
      <c r="A12" s="135"/>
      <c r="B12" s="135"/>
      <c r="C12" s="221"/>
      <c r="D12" s="222"/>
      <c r="E12" s="222"/>
      <c r="F12" s="222"/>
      <c r="G12" s="222"/>
      <c r="H12" s="222"/>
      <c r="I12" s="222"/>
      <c r="J12" s="230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s="137" customFormat="1" ht="24" customHeight="1">
      <c r="A13" s="135"/>
      <c r="B13" s="135"/>
      <c r="C13" s="221"/>
      <c r="D13" s="223" t="s">
        <v>150</v>
      </c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</row>
    <row r="14" spans="1:40" s="137" customFormat="1" ht="24" customHeight="1">
      <c r="A14" s="135"/>
      <c r="B14" s="135"/>
      <c r="C14" s="221"/>
      <c r="D14" s="223" t="s">
        <v>151</v>
      </c>
      <c r="E14" s="222"/>
      <c r="F14" s="222"/>
      <c r="G14" s="222"/>
      <c r="H14" s="222"/>
      <c r="I14" s="222"/>
      <c r="J14" s="231"/>
      <c r="K14" s="222"/>
      <c r="L14" s="232" t="e">
        <f>+T15*1+T16*2+T17*3</f>
        <v>#DIV/0!</v>
      </c>
      <c r="M14" s="222"/>
      <c r="N14" s="222"/>
      <c r="O14" s="222"/>
      <c r="P14" s="222"/>
      <c r="Q14" s="222"/>
      <c r="R14" s="222"/>
      <c r="S14" s="222"/>
      <c r="T14" s="222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1:40" s="137" customFormat="1" ht="24" customHeight="1">
      <c r="A15" s="135"/>
      <c r="B15" s="135"/>
      <c r="C15" s="221"/>
      <c r="D15" s="222"/>
      <c r="E15" s="223" t="s">
        <v>152</v>
      </c>
      <c r="F15" s="222"/>
      <c r="G15" s="222"/>
      <c r="H15" s="222"/>
      <c r="I15" s="226"/>
      <c r="J15" s="231"/>
      <c r="K15" s="231"/>
      <c r="L15" s="231"/>
      <c r="M15" s="231"/>
      <c r="N15" s="1686">
        <f>'基礎資料．畦畔延長'!L67</f>
        <v>0</v>
      </c>
      <c r="O15" s="1686"/>
      <c r="P15" s="234" t="s">
        <v>144</v>
      </c>
      <c r="Q15" s="1673">
        <f>'基礎資料．畦畔延長'!F67</f>
        <v>0</v>
      </c>
      <c r="R15" s="1673"/>
      <c r="S15" s="226" t="s">
        <v>145</v>
      </c>
      <c r="T15" s="232" t="e">
        <f>ROUND(N15/Q15,2)</f>
        <v>#DIV/0!</v>
      </c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</row>
    <row r="16" spans="1:40" s="137" customFormat="1" ht="24" customHeight="1">
      <c r="A16" s="135"/>
      <c r="B16" s="135"/>
      <c r="C16" s="221"/>
      <c r="D16" s="222"/>
      <c r="E16" s="223" t="s">
        <v>153</v>
      </c>
      <c r="F16" s="222"/>
      <c r="G16" s="222"/>
      <c r="H16" s="222"/>
      <c r="I16" s="226"/>
      <c r="J16" s="235"/>
      <c r="K16" s="231"/>
      <c r="L16" s="231"/>
      <c r="M16" s="231"/>
      <c r="N16" s="1686">
        <f>'基礎資料．畦畔延長'!M67</f>
        <v>0</v>
      </c>
      <c r="O16" s="1686"/>
      <c r="P16" s="234" t="s">
        <v>144</v>
      </c>
      <c r="Q16" s="1673">
        <f>'基礎資料．畦畔延長'!F67</f>
        <v>0</v>
      </c>
      <c r="R16" s="1673"/>
      <c r="S16" s="226" t="s">
        <v>145</v>
      </c>
      <c r="T16" s="232" t="e">
        <f>ROUND(N16/Q16,2)</f>
        <v>#DIV/0!</v>
      </c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</row>
    <row r="17" spans="1:40" s="137" customFormat="1" ht="24" customHeight="1">
      <c r="A17" s="135"/>
      <c r="B17" s="135"/>
      <c r="C17" s="221"/>
      <c r="D17" s="222"/>
      <c r="E17" s="223" t="s">
        <v>154</v>
      </c>
      <c r="F17" s="222"/>
      <c r="G17" s="222"/>
      <c r="H17" s="222"/>
      <c r="I17" s="226"/>
      <c r="J17" s="231"/>
      <c r="K17" s="231"/>
      <c r="L17" s="231"/>
      <c r="M17" s="231"/>
      <c r="N17" s="1686">
        <f>'基礎資料．畦畔延長'!N67</f>
        <v>0</v>
      </c>
      <c r="O17" s="1686"/>
      <c r="P17" s="234" t="s">
        <v>144</v>
      </c>
      <c r="Q17" s="1673">
        <f>'基礎資料．畦畔延長'!F67</f>
        <v>0</v>
      </c>
      <c r="R17" s="1673"/>
      <c r="S17" s="226" t="s">
        <v>145</v>
      </c>
      <c r="T17" s="232" t="e">
        <f>ROUND(N17/Q17,2)</f>
        <v>#DIV/0!</v>
      </c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</row>
    <row r="18" spans="1:40" s="137" customFormat="1" ht="24" customHeight="1">
      <c r="A18" s="135"/>
      <c r="B18" s="135"/>
      <c r="C18" s="221"/>
      <c r="D18" s="222"/>
      <c r="E18" s="223"/>
      <c r="F18" s="222"/>
      <c r="G18" s="222"/>
      <c r="H18" s="222"/>
      <c r="I18" s="226"/>
      <c r="J18" s="233"/>
      <c r="K18" s="234"/>
      <c r="L18" s="233"/>
      <c r="M18" s="226"/>
      <c r="N18" s="225"/>
      <c r="O18" s="222"/>
      <c r="P18" s="222"/>
      <c r="Q18" s="222"/>
      <c r="R18" s="222"/>
      <c r="S18" s="222"/>
      <c r="T18" s="222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</row>
    <row r="19" spans="1:40" s="137" customFormat="1" ht="24" customHeight="1" thickBot="1">
      <c r="A19" s="135"/>
      <c r="B19" s="135"/>
      <c r="C19" s="221"/>
      <c r="D19" s="223" t="s">
        <v>155</v>
      </c>
      <c r="E19" s="223"/>
      <c r="F19" s="222"/>
      <c r="G19" s="222"/>
      <c r="H19" s="222"/>
      <c r="I19" s="226"/>
      <c r="J19" s="233"/>
      <c r="K19" s="234"/>
      <c r="L19" s="233"/>
      <c r="M19" s="226"/>
      <c r="N19" s="225"/>
      <c r="O19" s="222"/>
      <c r="P19" s="222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</row>
    <row r="20" spans="1:40" s="137" customFormat="1" ht="24" customHeight="1">
      <c r="A20" s="135"/>
      <c r="B20" s="135"/>
      <c r="C20" s="221"/>
      <c r="D20" s="223" t="s">
        <v>156</v>
      </c>
      <c r="E20" s="223"/>
      <c r="F20" s="222"/>
      <c r="G20" s="222"/>
      <c r="H20" s="222"/>
      <c r="I20" s="226"/>
      <c r="J20" s="233"/>
      <c r="K20" s="234"/>
      <c r="L20" s="233">
        <f>'基礎資料．畦畔延長'!K67</f>
        <v>3</v>
      </c>
      <c r="M20" s="234" t="s">
        <v>144</v>
      </c>
      <c r="N20" s="396">
        <f>+N8</f>
        <v>0</v>
      </c>
      <c r="O20" s="226" t="s">
        <v>145</v>
      </c>
      <c r="P20" s="236" t="e">
        <f>ROUND(L20/N20,1)</f>
        <v>#DIV/0!</v>
      </c>
      <c r="Q20" s="140"/>
      <c r="R20" s="1680" t="s">
        <v>157</v>
      </c>
      <c r="S20" s="1645"/>
      <c r="T20" s="1675" t="s">
        <v>158</v>
      </c>
      <c r="U20" s="1676"/>
      <c r="V20" s="1676"/>
      <c r="W20" s="1665" t="s">
        <v>159</v>
      </c>
      <c r="X20" s="1666"/>
      <c r="Y20" s="1666"/>
      <c r="Z20" s="1670"/>
      <c r="AA20" s="1660" t="s">
        <v>160</v>
      </c>
      <c r="AB20" s="1661"/>
      <c r="AC20" s="1662"/>
      <c r="AD20" s="1663"/>
      <c r="AE20" s="172"/>
      <c r="AF20" s="151"/>
      <c r="AG20" s="140"/>
      <c r="AH20" s="135"/>
      <c r="AI20" s="135"/>
      <c r="AJ20" s="135"/>
      <c r="AK20" s="135"/>
      <c r="AL20" s="135"/>
      <c r="AM20" s="135"/>
      <c r="AN20" s="135"/>
    </row>
    <row r="21" spans="1:40" s="137" customFormat="1" ht="24" customHeight="1">
      <c r="A21" s="135"/>
      <c r="B21" s="135"/>
      <c r="C21" s="221"/>
      <c r="D21" s="222"/>
      <c r="E21" s="223"/>
      <c r="F21" s="222"/>
      <c r="G21" s="222"/>
      <c r="H21" s="222"/>
      <c r="I21" s="226"/>
      <c r="J21" s="233"/>
      <c r="K21" s="234"/>
      <c r="L21" s="233"/>
      <c r="M21" s="226"/>
      <c r="N21" s="225"/>
      <c r="O21" s="222"/>
      <c r="P21" s="237" t="s">
        <v>161</v>
      </c>
      <c r="Q21" s="140"/>
      <c r="R21" s="1681"/>
      <c r="S21" s="1647"/>
      <c r="T21" s="1656" t="s">
        <v>162</v>
      </c>
      <c r="U21" s="1658"/>
      <c r="V21" s="242" t="s">
        <v>163</v>
      </c>
      <c r="W21" s="1656" t="s">
        <v>164</v>
      </c>
      <c r="X21" s="1658"/>
      <c r="Y21" s="1657" t="s">
        <v>165</v>
      </c>
      <c r="Z21" s="1658"/>
      <c r="AA21" s="1656" t="s">
        <v>166</v>
      </c>
      <c r="AB21" s="1658"/>
      <c r="AC21" s="1656" t="s">
        <v>167</v>
      </c>
      <c r="AD21" s="1664"/>
      <c r="AE21" s="151"/>
      <c r="AF21" s="152"/>
      <c r="AG21" s="140"/>
      <c r="AH21" s="135"/>
      <c r="AI21" s="135"/>
      <c r="AJ21" s="135"/>
      <c r="AK21" s="135"/>
      <c r="AL21" s="135"/>
      <c r="AM21" s="135"/>
      <c r="AN21" s="135"/>
    </row>
    <row r="22" spans="1:40" s="137" customFormat="1" ht="24" customHeight="1">
      <c r="A22" s="135"/>
      <c r="B22" s="135"/>
      <c r="C22" s="221"/>
      <c r="D22" s="222"/>
      <c r="E22" s="223"/>
      <c r="F22" s="222"/>
      <c r="G22" s="222"/>
      <c r="H22" s="222"/>
      <c r="I22" s="226"/>
      <c r="J22" s="231"/>
      <c r="K22" s="238" t="s">
        <v>168</v>
      </c>
      <c r="L22" s="234"/>
      <c r="M22" s="233"/>
      <c r="N22" s="226"/>
      <c r="O22" s="222"/>
      <c r="P22" s="237" t="e">
        <f>IF(0.5&gt;$P$20,"う","い")</f>
        <v>#DIV/0!</v>
      </c>
      <c r="Q22" s="140" t="e">
        <f>IF(0.5&gt;$P$20,"〇","")</f>
        <v>#DIV/0!</v>
      </c>
      <c r="R22" s="1668" t="s">
        <v>169</v>
      </c>
      <c r="S22" s="1669"/>
      <c r="T22" s="245"/>
      <c r="U22" s="246">
        <v>0</v>
      </c>
      <c r="V22" s="247">
        <v>0</v>
      </c>
      <c r="W22" s="248"/>
      <c r="X22" s="249">
        <v>0</v>
      </c>
      <c r="Y22" s="248"/>
      <c r="Z22" s="249">
        <v>0</v>
      </c>
      <c r="AA22" s="245"/>
      <c r="AB22" s="249">
        <v>0</v>
      </c>
      <c r="AC22" s="250"/>
      <c r="AD22" s="251">
        <v>0</v>
      </c>
      <c r="AE22" s="130"/>
      <c r="AF22" s="130"/>
      <c r="AH22" s="135"/>
      <c r="AI22" s="135"/>
      <c r="AJ22" s="135"/>
      <c r="AK22" s="135"/>
      <c r="AL22" s="135"/>
      <c r="AM22" s="135"/>
      <c r="AN22" s="135"/>
    </row>
    <row r="23" spans="1:40" s="137" customFormat="1" ht="24" customHeight="1">
      <c r="A23" s="135"/>
      <c r="B23" s="135"/>
      <c r="C23" s="221"/>
      <c r="D23" s="222"/>
      <c r="E23" s="223"/>
      <c r="F23" s="222"/>
      <c r="G23" s="222"/>
      <c r="H23" s="222"/>
      <c r="I23" s="226"/>
      <c r="J23" s="231"/>
      <c r="K23" s="238" t="s">
        <v>258</v>
      </c>
      <c r="L23" s="239"/>
      <c r="M23" s="233"/>
      <c r="N23" s="226"/>
      <c r="O23" s="222"/>
      <c r="P23" s="237" t="e">
        <f>IF((AND(0.5&lt;=$P$20)*($P$20&lt;2)),"う","い")</f>
        <v>#DIV/0!</v>
      </c>
      <c r="Q23" s="140" t="e">
        <f>IF((AND(0.5&lt;=$P$20)*($P$20&lt;2)),"〇","")</f>
        <v>#DIV/0!</v>
      </c>
      <c r="R23" s="1679" t="s">
        <v>170</v>
      </c>
      <c r="S23" s="1658"/>
      <c r="T23" s="245"/>
      <c r="U23" s="246">
        <v>0.4</v>
      </c>
      <c r="V23" s="247">
        <v>0.4</v>
      </c>
      <c r="W23" s="248"/>
      <c r="X23" s="249">
        <v>0.3</v>
      </c>
      <c r="Y23" s="248"/>
      <c r="Z23" s="249">
        <v>0.3</v>
      </c>
      <c r="AA23" s="245"/>
      <c r="AB23" s="249">
        <v>0.7</v>
      </c>
      <c r="AC23" s="252"/>
      <c r="AD23" s="253">
        <v>0.9</v>
      </c>
      <c r="AE23" s="130"/>
      <c r="AF23" s="130"/>
      <c r="AH23" s="135"/>
      <c r="AI23" s="135"/>
      <c r="AJ23" s="135"/>
      <c r="AK23" s="135"/>
      <c r="AL23" s="135"/>
      <c r="AM23" s="135"/>
      <c r="AN23" s="135"/>
    </row>
    <row r="24" spans="1:40" s="137" customFormat="1" ht="24" customHeight="1" thickBot="1">
      <c r="A24" s="135"/>
      <c r="B24" s="135"/>
      <c r="C24" s="221"/>
      <c r="D24" s="222"/>
      <c r="E24" s="223"/>
      <c r="F24" s="222"/>
      <c r="G24" s="222"/>
      <c r="H24" s="222"/>
      <c r="I24" s="226"/>
      <c r="J24" s="231"/>
      <c r="K24" s="238" t="s">
        <v>171</v>
      </c>
      <c r="L24" s="234"/>
      <c r="M24" s="233"/>
      <c r="N24" s="226"/>
      <c r="O24" s="222"/>
      <c r="P24" s="237" t="e">
        <f>IF(2&lt;=$P$20,"う","い")</f>
        <v>#DIV/0!</v>
      </c>
      <c r="Q24" s="140" t="e">
        <f>IF(2&lt;=$P$20,"〇","")</f>
        <v>#DIV/0!</v>
      </c>
      <c r="R24" s="1677" t="s">
        <v>172</v>
      </c>
      <c r="S24" s="1678"/>
      <c r="T24" s="254"/>
      <c r="U24" s="255">
        <v>1.2</v>
      </c>
      <c r="V24" s="256">
        <v>1.2</v>
      </c>
      <c r="W24" s="257"/>
      <c r="X24" s="258">
        <v>0.9</v>
      </c>
      <c r="Y24" s="257"/>
      <c r="Z24" s="258">
        <v>0.9</v>
      </c>
      <c r="AA24" s="254"/>
      <c r="AB24" s="258">
        <v>2.1</v>
      </c>
      <c r="AC24" s="259"/>
      <c r="AD24" s="260">
        <v>2.7</v>
      </c>
      <c r="AE24" s="130"/>
      <c r="AF24" s="130"/>
      <c r="AH24" s="135"/>
      <c r="AI24" s="135"/>
      <c r="AJ24" s="135"/>
      <c r="AK24" s="135"/>
      <c r="AL24" s="135"/>
      <c r="AM24" s="135"/>
      <c r="AN24" s="135"/>
    </row>
    <row r="25" spans="1:40" s="137" customFormat="1" ht="24" customHeight="1">
      <c r="A25" s="135"/>
      <c r="B25" s="135"/>
      <c r="C25" s="136"/>
      <c r="D25" s="135"/>
      <c r="E25" s="138"/>
      <c r="F25" s="135"/>
      <c r="G25" s="135"/>
      <c r="H25" s="135"/>
      <c r="I25" s="140"/>
      <c r="J25" s="142"/>
      <c r="K25" s="142"/>
      <c r="L25" s="141"/>
      <c r="M25" s="140"/>
      <c r="N25" s="139"/>
      <c r="O25" s="135"/>
      <c r="P25" s="149" t="s">
        <v>161</v>
      </c>
      <c r="Q25" s="135"/>
      <c r="R25" s="140"/>
      <c r="S25" s="140"/>
      <c r="T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5"/>
      <c r="AH25" s="135"/>
      <c r="AI25" s="135"/>
      <c r="AJ25" s="135"/>
      <c r="AK25" s="135"/>
      <c r="AL25" s="135"/>
      <c r="AM25" s="135"/>
      <c r="AN25" s="135"/>
    </row>
    <row r="26" spans="1:40" s="137" customFormat="1" ht="24" customHeight="1">
      <c r="A26" s="135"/>
      <c r="B26" s="135"/>
      <c r="C26" s="136"/>
      <c r="D26" s="223" t="s">
        <v>173</v>
      </c>
      <c r="E26" s="223"/>
      <c r="F26" s="222"/>
      <c r="G26" s="222"/>
      <c r="H26" s="222"/>
      <c r="I26" s="226"/>
      <c r="J26" s="234"/>
      <c r="K26" s="234"/>
      <c r="L26" s="233"/>
      <c r="M26" s="140"/>
      <c r="N26" s="139"/>
      <c r="O26" s="135"/>
      <c r="P26" s="149" t="s">
        <v>174</v>
      </c>
      <c r="Q26" s="140"/>
      <c r="R26" s="140"/>
      <c r="S26" s="140"/>
      <c r="T26" s="150"/>
      <c r="U26" s="150">
        <f>DSUM($P21:$AD24,6,$P25:$P26)</f>
        <v>0</v>
      </c>
      <c r="V26" s="150">
        <f>DSUM($P21:$AD24,7,$P25:$P26)</f>
        <v>0</v>
      </c>
      <c r="W26" s="149">
        <f>DSUM($P21:$AD24,8,$P25:$P26)</f>
        <v>0</v>
      </c>
      <c r="X26" s="149">
        <f>DSUM($P21:$AD24,9,$P25:$P26)</f>
        <v>0</v>
      </c>
      <c r="Y26" s="150"/>
      <c r="Z26" s="150">
        <f>DSUM($P21:$AD24,11,$P25:$P26)</f>
        <v>0</v>
      </c>
      <c r="AA26" s="150"/>
      <c r="AB26" s="150">
        <f>DSUM($P21:$AE24,13,$P25:$P26)</f>
        <v>0</v>
      </c>
      <c r="AC26" s="150"/>
      <c r="AD26" s="150">
        <f>DSUM($P21:$AD24,15,$P25:$P26)</f>
        <v>0</v>
      </c>
      <c r="AE26" s="150"/>
      <c r="AF26" s="150"/>
      <c r="AG26" s="140"/>
      <c r="AH26" s="135"/>
      <c r="AI26" s="135"/>
      <c r="AJ26" s="135"/>
      <c r="AK26" s="135"/>
      <c r="AL26" s="135"/>
      <c r="AM26" s="135"/>
      <c r="AN26" s="135"/>
    </row>
    <row r="27" spans="1:40" s="137" customFormat="1" ht="24" customHeight="1">
      <c r="A27" s="135"/>
      <c r="B27" s="135"/>
      <c r="C27" s="136"/>
      <c r="D27" s="222"/>
      <c r="E27" s="221" t="s">
        <v>175</v>
      </c>
      <c r="F27" s="222"/>
      <c r="G27" s="222"/>
      <c r="H27" s="222"/>
      <c r="I27" s="231"/>
      <c r="J27" s="261" t="s">
        <v>176</v>
      </c>
      <c r="K27" s="233">
        <v>0</v>
      </c>
      <c r="L27" s="226">
        <f>IF(K1=0,"〇","")</f>
      </c>
      <c r="M27" s="140"/>
      <c r="N27" s="139"/>
      <c r="O27" s="135"/>
      <c r="Q27" s="140"/>
      <c r="R27" s="140"/>
      <c r="S27" s="14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40"/>
      <c r="AH27" s="135"/>
      <c r="AI27" s="135"/>
      <c r="AJ27" s="135"/>
      <c r="AK27" s="135"/>
      <c r="AL27" s="135"/>
      <c r="AM27" s="135"/>
      <c r="AN27" s="135"/>
    </row>
    <row r="28" spans="1:40" s="137" customFormat="1" ht="24" customHeight="1">
      <c r="A28" s="135"/>
      <c r="B28" s="135"/>
      <c r="C28" s="136"/>
      <c r="D28" s="226" t="str">
        <f>IF(K1=1,"〇","")</f>
        <v>〇</v>
      </c>
      <c r="E28" s="221" t="s">
        <v>177</v>
      </c>
      <c r="F28" s="222"/>
      <c r="G28" s="222"/>
      <c r="H28" s="222"/>
      <c r="I28" s="231"/>
      <c r="J28" s="261" t="s">
        <v>176</v>
      </c>
      <c r="K28" s="233">
        <v>1</v>
      </c>
      <c r="L28" s="231"/>
      <c r="M28" s="140"/>
      <c r="N28" s="139"/>
      <c r="O28" s="135"/>
      <c r="P28" s="135"/>
      <c r="R28" s="140"/>
      <c r="S28" s="14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5"/>
      <c r="AH28" s="135"/>
      <c r="AI28" s="135"/>
      <c r="AJ28" s="135"/>
      <c r="AK28" s="135"/>
      <c r="AL28" s="135"/>
      <c r="AM28" s="135"/>
      <c r="AN28" s="135"/>
    </row>
    <row r="29" spans="1:40" s="137" customFormat="1" ht="24" customHeight="1">
      <c r="A29" s="135"/>
      <c r="B29" s="135"/>
      <c r="C29" s="136"/>
      <c r="D29" s="222"/>
      <c r="E29" s="223"/>
      <c r="F29" s="222"/>
      <c r="G29" s="222"/>
      <c r="H29" s="222"/>
      <c r="I29" s="226"/>
      <c r="J29" s="234"/>
      <c r="K29" s="234"/>
      <c r="L29" s="233"/>
      <c r="M29" s="140"/>
      <c r="N29" s="139"/>
      <c r="O29" s="135"/>
      <c r="P29" s="135"/>
      <c r="Q29" s="135"/>
      <c r="R29" s="140"/>
      <c r="S29" s="14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5"/>
      <c r="AH29" s="135"/>
      <c r="AI29" s="135"/>
      <c r="AJ29" s="135"/>
      <c r="AK29" s="135"/>
      <c r="AL29" s="135"/>
      <c r="AM29" s="135"/>
      <c r="AN29" s="135"/>
    </row>
    <row r="30" spans="1:40" s="137" customFormat="1" ht="24" customHeight="1">
      <c r="A30" s="135"/>
      <c r="B30" s="135"/>
      <c r="C30" s="136"/>
      <c r="D30" s="223" t="s">
        <v>178</v>
      </c>
      <c r="E30" s="223"/>
      <c r="F30" s="222"/>
      <c r="G30" s="222"/>
      <c r="H30" s="222"/>
      <c r="I30" s="226"/>
      <c r="J30" s="234"/>
      <c r="K30" s="234"/>
      <c r="L30" s="233"/>
      <c r="M30" s="140"/>
      <c r="N30" s="139"/>
      <c r="O30" s="135"/>
      <c r="P30" s="135"/>
      <c r="Q30" s="135"/>
      <c r="R30" s="140"/>
      <c r="S30" s="14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5"/>
      <c r="AH30" s="135"/>
      <c r="AI30" s="135"/>
      <c r="AJ30" s="135"/>
      <c r="AK30" s="135"/>
      <c r="AL30" s="135"/>
      <c r="AM30" s="135"/>
      <c r="AN30" s="135"/>
    </row>
    <row r="31" spans="1:40" s="137" customFormat="1" ht="24" customHeight="1">
      <c r="A31" s="135"/>
      <c r="B31" s="135"/>
      <c r="C31" s="136"/>
      <c r="D31" s="223" t="s">
        <v>259</v>
      </c>
      <c r="E31" s="223"/>
      <c r="F31" s="222"/>
      <c r="G31" s="222"/>
      <c r="H31" s="222"/>
      <c r="I31" s="1673">
        <f>+K2</f>
        <v>20</v>
      </c>
      <c r="J31" s="1674"/>
      <c r="K31" s="231" t="s">
        <v>138</v>
      </c>
      <c r="L31" s="233"/>
      <c r="M31" s="140"/>
      <c r="N31" s="139"/>
      <c r="O31" s="135"/>
      <c r="P31" s="135"/>
      <c r="Q31" s="135"/>
      <c r="R31" s="140"/>
      <c r="S31" s="14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5"/>
      <c r="AH31" s="135"/>
      <c r="AI31" s="135"/>
      <c r="AJ31" s="135"/>
      <c r="AK31" s="135"/>
      <c r="AL31" s="135"/>
      <c r="AM31" s="135"/>
      <c r="AN31" s="135"/>
    </row>
    <row r="32" spans="1:40" s="137" customFormat="1" ht="24" customHeight="1">
      <c r="A32" s="135"/>
      <c r="B32" s="135"/>
      <c r="C32" s="136"/>
      <c r="D32" s="135"/>
      <c r="E32" s="138"/>
      <c r="F32" s="135"/>
      <c r="G32" s="135"/>
      <c r="H32" s="135"/>
      <c r="I32" s="140"/>
      <c r="J32" s="142"/>
      <c r="K32" s="142"/>
      <c r="L32" s="141"/>
      <c r="M32" s="140"/>
      <c r="N32" s="139"/>
      <c r="O32" s="135"/>
      <c r="P32" s="135"/>
      <c r="Q32" s="135"/>
      <c r="R32" s="140"/>
      <c r="S32" s="14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5"/>
      <c r="AH32" s="135"/>
      <c r="AI32" s="135"/>
      <c r="AJ32" s="135"/>
      <c r="AK32" s="135"/>
      <c r="AL32" s="135"/>
      <c r="AM32" s="135"/>
      <c r="AN32" s="135"/>
    </row>
    <row r="33" spans="1:40" s="231" customFormat="1" ht="24" customHeight="1">
      <c r="A33" s="222"/>
      <c r="B33" s="222"/>
      <c r="C33" s="221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</row>
    <row r="34" spans="1:40" s="231" customFormat="1" ht="24" customHeight="1" thickBot="1">
      <c r="A34" s="222"/>
      <c r="B34" s="222"/>
      <c r="C34" s="222" t="s">
        <v>179</v>
      </c>
      <c r="D34" s="221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6"/>
      <c r="AD34" s="226"/>
      <c r="AE34" s="229"/>
      <c r="AF34" s="229"/>
      <c r="AG34" s="262"/>
      <c r="AH34" s="263"/>
      <c r="AI34" s="229"/>
      <c r="AJ34" s="263"/>
      <c r="AK34" s="226"/>
      <c r="AL34" s="222"/>
      <c r="AM34" s="222"/>
      <c r="AN34" s="222"/>
    </row>
    <row r="35" spans="1:40" s="231" customFormat="1" ht="24" customHeight="1">
      <c r="A35" s="222"/>
      <c r="B35" s="222"/>
      <c r="C35" s="221"/>
      <c r="D35" s="264"/>
      <c r="E35" s="1665" t="s">
        <v>180</v>
      </c>
      <c r="F35" s="1666"/>
      <c r="G35" s="1666"/>
      <c r="H35" s="1666"/>
      <c r="I35" s="1666"/>
      <c r="J35" s="1666"/>
      <c r="K35" s="1666"/>
      <c r="L35" s="1666"/>
      <c r="M35" s="1666"/>
      <c r="N35" s="1666"/>
      <c r="O35" s="1666"/>
      <c r="P35" s="1666"/>
      <c r="Q35" s="1666"/>
      <c r="R35" s="1666"/>
      <c r="S35" s="1666"/>
      <c r="T35" s="1666"/>
      <c r="U35" s="1666"/>
      <c r="V35" s="1666"/>
      <c r="W35" s="1666"/>
      <c r="X35" s="1666"/>
      <c r="Y35" s="1666"/>
      <c r="Z35" s="1666"/>
      <c r="AA35" s="1666"/>
      <c r="AB35" s="1666"/>
      <c r="AC35" s="1666"/>
      <c r="AD35" s="1666"/>
      <c r="AE35" s="1667"/>
      <c r="AF35" s="265"/>
      <c r="AG35" s="229"/>
      <c r="AH35" s="222"/>
      <c r="AI35" s="222"/>
      <c r="AJ35" s="222"/>
      <c r="AK35" s="266"/>
      <c r="AL35" s="222"/>
      <c r="AM35" s="222"/>
      <c r="AN35" s="222"/>
    </row>
    <row r="36" spans="1:40" s="231" customFormat="1" ht="24" customHeight="1">
      <c r="A36" s="222"/>
      <c r="B36" s="222"/>
      <c r="C36" s="222"/>
      <c r="D36" s="267" t="s">
        <v>181</v>
      </c>
      <c r="E36" s="1689" t="s">
        <v>182</v>
      </c>
      <c r="F36" s="1690"/>
      <c r="G36" s="1690"/>
      <c r="H36" s="1690"/>
      <c r="I36" s="1690"/>
      <c r="J36" s="1690"/>
      <c r="K36" s="1690"/>
      <c r="L36" s="1690"/>
      <c r="M36" s="1690"/>
      <c r="N36" s="1690"/>
      <c r="O36" s="1690"/>
      <c r="P36" s="1690"/>
      <c r="Q36" s="1690"/>
      <c r="R36" s="1690"/>
      <c r="S36" s="1690"/>
      <c r="T36" s="1690"/>
      <c r="U36" s="1689" t="s">
        <v>183</v>
      </c>
      <c r="V36" s="1690"/>
      <c r="W36" s="1690"/>
      <c r="X36" s="1690"/>
      <c r="Y36" s="1690"/>
      <c r="Z36" s="1690"/>
      <c r="AA36" s="1690"/>
      <c r="AB36" s="1690"/>
      <c r="AC36" s="1690"/>
      <c r="AD36" s="1690"/>
      <c r="AE36" s="1699"/>
      <c r="AF36" s="265"/>
      <c r="AG36" s="226"/>
      <c r="AH36" s="222"/>
      <c r="AI36" s="221"/>
      <c r="AJ36" s="222"/>
      <c r="AK36" s="222"/>
      <c r="AL36" s="222"/>
      <c r="AM36" s="222"/>
      <c r="AN36" s="222"/>
    </row>
    <row r="37" spans="1:40" s="231" customFormat="1" ht="24" customHeight="1">
      <c r="A37" s="222"/>
      <c r="B37" s="222"/>
      <c r="C37" s="221"/>
      <c r="D37" s="269" t="s">
        <v>184</v>
      </c>
      <c r="E37" s="270" t="s">
        <v>185</v>
      </c>
      <c r="F37" s="271"/>
      <c r="G37" s="272"/>
      <c r="H37" s="272"/>
      <c r="I37" s="271"/>
      <c r="J37" s="272"/>
      <c r="K37" s="272"/>
      <c r="L37" s="272"/>
      <c r="M37" s="272"/>
      <c r="N37" s="271"/>
      <c r="O37" s="273"/>
      <c r="P37" s="271"/>
      <c r="Q37" s="272"/>
      <c r="R37" s="271"/>
      <c r="S37" s="274"/>
      <c r="T37" s="275" t="e">
        <f>ROUND(9.2*$R$8+113.8*$J$11+$U$26+$I$31-8.5,1)</f>
        <v>#DIV/0!</v>
      </c>
      <c r="U37" s="276" t="s">
        <v>186</v>
      </c>
      <c r="V37" s="277"/>
      <c r="W37" s="277"/>
      <c r="X37" s="272"/>
      <c r="Y37" s="272"/>
      <c r="Z37" s="272"/>
      <c r="AA37" s="272"/>
      <c r="AB37" s="272"/>
      <c r="AC37" s="278"/>
      <c r="AD37" s="274"/>
      <c r="AE37" s="279" t="e">
        <f>ROUND(-7.7*$R$8+115.3*$J$11+$V$26+0.9*$I$31-0.9,1)</f>
        <v>#DIV/0!</v>
      </c>
      <c r="AF37" s="280"/>
      <c r="AG37" s="222"/>
      <c r="AH37" s="222"/>
      <c r="AI37" s="281"/>
      <c r="AJ37" s="222"/>
      <c r="AK37" s="266"/>
      <c r="AL37" s="222"/>
      <c r="AM37" s="222"/>
      <c r="AN37" s="222"/>
    </row>
    <row r="38" spans="1:40" s="231" customFormat="1" ht="24" customHeight="1">
      <c r="A38" s="222"/>
      <c r="B38" s="222"/>
      <c r="C38" s="222"/>
      <c r="D38" s="269" t="s">
        <v>187</v>
      </c>
      <c r="E38" s="274" t="s">
        <v>241</v>
      </c>
      <c r="F38" s="271"/>
      <c r="G38" s="272"/>
      <c r="H38" s="272"/>
      <c r="I38" s="271"/>
      <c r="J38" s="272"/>
      <c r="K38" s="272"/>
      <c r="L38" s="272"/>
      <c r="M38" s="272"/>
      <c r="N38" s="272"/>
      <c r="O38" s="272"/>
      <c r="P38" s="272"/>
      <c r="Q38" s="272"/>
      <c r="R38" s="271"/>
      <c r="S38" s="274"/>
      <c r="T38" s="275" t="e">
        <f>ROUND(5.5*$R$8+55.5*$J$11+$X$26+1.1*$I$31-13.8,1)</f>
        <v>#DIV/0!</v>
      </c>
      <c r="U38" s="276" t="s">
        <v>188</v>
      </c>
      <c r="V38" s="277"/>
      <c r="W38" s="277"/>
      <c r="X38" s="272"/>
      <c r="Y38" s="272"/>
      <c r="Z38" s="272"/>
      <c r="AA38" s="272"/>
      <c r="AB38" s="272"/>
      <c r="AC38" s="282"/>
      <c r="AD38" s="270"/>
      <c r="AE38" s="279" t="e">
        <f>ROUND(-23.5*$R$8+24.3*$J$11+$Z$26+0.1*$I$31+19.2,1)</f>
        <v>#DIV/0!</v>
      </c>
      <c r="AF38" s="280"/>
      <c r="AG38" s="226"/>
      <c r="AH38" s="222"/>
      <c r="AI38" s="221"/>
      <c r="AJ38" s="222"/>
      <c r="AK38" s="266"/>
      <c r="AL38" s="222"/>
      <c r="AM38" s="222"/>
      <c r="AN38" s="222"/>
    </row>
    <row r="39" spans="1:40" s="231" customFormat="1" ht="24" customHeight="1">
      <c r="A39" s="222"/>
      <c r="B39" s="222"/>
      <c r="C39" s="221"/>
      <c r="D39" s="269" t="s">
        <v>189</v>
      </c>
      <c r="E39" s="270" t="s">
        <v>190</v>
      </c>
      <c r="F39" s="271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1"/>
      <c r="S39" s="274"/>
      <c r="T39" s="275" t="e">
        <f>ROUND(3.8*$R$8+$I$31-5,1)</f>
        <v>#DIV/0!</v>
      </c>
      <c r="U39" s="276" t="s">
        <v>282</v>
      </c>
      <c r="V39" s="277"/>
      <c r="W39" s="277"/>
      <c r="X39" s="272"/>
      <c r="Y39" s="272"/>
      <c r="Z39" s="272"/>
      <c r="AA39" s="272"/>
      <c r="AB39" s="272"/>
      <c r="AC39" s="282"/>
      <c r="AD39" s="270"/>
      <c r="AE39" s="279" t="e">
        <f>ROUND(-6.6*$R$8+0.3*$I$31+1.2,1)</f>
        <v>#DIV/0!</v>
      </c>
      <c r="AF39" s="280"/>
      <c r="AG39" s="222"/>
      <c r="AH39" s="222"/>
      <c r="AI39" s="283"/>
      <c r="AJ39" s="222"/>
      <c r="AK39" s="266"/>
      <c r="AL39" s="222"/>
      <c r="AM39" s="222"/>
      <c r="AN39" s="222"/>
    </row>
    <row r="40" spans="1:40" s="231" customFormat="1" ht="24" customHeight="1">
      <c r="A40" s="222"/>
      <c r="B40" s="222"/>
      <c r="C40" s="222"/>
      <c r="D40" s="269" t="s">
        <v>191</v>
      </c>
      <c r="E40" s="284" t="s">
        <v>192</v>
      </c>
      <c r="F40" s="272"/>
      <c r="G40" s="272"/>
      <c r="H40" s="272"/>
      <c r="I40" s="285"/>
      <c r="J40" s="273"/>
      <c r="K40" s="273"/>
      <c r="L40" s="273"/>
      <c r="M40" s="273"/>
      <c r="N40" s="271"/>
      <c r="O40" s="271"/>
      <c r="P40" s="272"/>
      <c r="Q40" s="272"/>
      <c r="R40" s="271"/>
      <c r="S40" s="274"/>
      <c r="T40" s="275" t="e">
        <f>ROUND(-5.9*$R$8+16.7,1)</f>
        <v>#DIV/0!</v>
      </c>
      <c r="U40" s="286" t="s">
        <v>193</v>
      </c>
      <c r="V40" s="287"/>
      <c r="W40" s="287"/>
      <c r="X40" s="271"/>
      <c r="Y40" s="271"/>
      <c r="Z40" s="271"/>
      <c r="AA40" s="271"/>
      <c r="AB40" s="271"/>
      <c r="AC40" s="282"/>
      <c r="AD40" s="270"/>
      <c r="AE40" s="279" t="e">
        <f>ROUND(-2.4*$R$8+1.5,1)</f>
        <v>#DIV/0!</v>
      </c>
      <c r="AF40" s="280"/>
      <c r="AG40" s="266"/>
      <c r="AH40" s="221"/>
      <c r="AI40" s="222"/>
      <c r="AJ40" s="222"/>
      <c r="AK40" s="266"/>
      <c r="AL40" s="222"/>
      <c r="AM40" s="222"/>
      <c r="AN40" s="222"/>
    </row>
    <row r="41" spans="1:40" s="231" customFormat="1" ht="24" customHeight="1">
      <c r="A41" s="222"/>
      <c r="B41" s="222"/>
      <c r="C41" s="222"/>
      <c r="D41" s="267" t="s">
        <v>194</v>
      </c>
      <c r="E41" s="1700" t="s">
        <v>195</v>
      </c>
      <c r="F41" s="1701"/>
      <c r="G41" s="1701"/>
      <c r="H41" s="1701"/>
      <c r="I41" s="1701"/>
      <c r="J41" s="1701"/>
      <c r="K41" s="1701"/>
      <c r="L41" s="1701"/>
      <c r="M41" s="1701"/>
      <c r="N41" s="1701"/>
      <c r="O41" s="1701"/>
      <c r="P41" s="1701"/>
      <c r="Q41" s="1701"/>
      <c r="R41" s="1702"/>
      <c r="S41" s="288"/>
      <c r="T41" s="289" t="e">
        <f>ROUND(1070*$R$8*$J$11+6.9*$L$14+$AB$26+1.7*$K$1+1.6,1)</f>
        <v>#DIV/0!</v>
      </c>
      <c r="U41" s="288" t="s">
        <v>242</v>
      </c>
      <c r="V41" s="222"/>
      <c r="W41" s="222"/>
      <c r="X41" s="222"/>
      <c r="Y41" s="222"/>
      <c r="Z41" s="222"/>
      <c r="AA41" s="222"/>
      <c r="AB41" s="222"/>
      <c r="AC41" s="290"/>
      <c r="AD41" s="288"/>
      <c r="AE41" s="291" t="e">
        <f>ROUND(270*$R$8*$J$11+$AD$26+4.6,1)</f>
        <v>#DIV/0!</v>
      </c>
      <c r="AF41" s="280"/>
      <c r="AG41" s="222"/>
      <c r="AH41" s="222"/>
      <c r="AI41" s="292"/>
      <c r="AJ41" s="222"/>
      <c r="AK41" s="266"/>
      <c r="AL41" s="222"/>
      <c r="AM41" s="222"/>
      <c r="AN41" s="222"/>
    </row>
    <row r="42" spans="1:40" s="231" customFormat="1" ht="24" customHeight="1">
      <c r="A42" s="222"/>
      <c r="B42" s="222"/>
      <c r="C42" s="226"/>
      <c r="D42" s="269" t="s">
        <v>196</v>
      </c>
      <c r="E42" s="284" t="s">
        <v>197</v>
      </c>
      <c r="F42" s="271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0"/>
      <c r="T42" s="275" t="e">
        <f>ROUND(-2.4*$R$8+3*$K$1+2.4,1)</f>
        <v>#DIV/0!</v>
      </c>
      <c r="U42" s="284" t="s">
        <v>198</v>
      </c>
      <c r="V42" s="293"/>
      <c r="W42" s="293"/>
      <c r="X42" s="272"/>
      <c r="Y42" s="272"/>
      <c r="Z42" s="272"/>
      <c r="AA42" s="272"/>
      <c r="AB42" s="272"/>
      <c r="AC42" s="241"/>
      <c r="AD42" s="240"/>
      <c r="AE42" s="279" t="e">
        <f>ROUND(-2.3*$R$8+2.2,1)</f>
        <v>#DIV/0!</v>
      </c>
      <c r="AF42" s="280"/>
      <c r="AG42" s="266"/>
      <c r="AH42" s="222"/>
      <c r="AI42" s="221"/>
      <c r="AJ42" s="222"/>
      <c r="AK42" s="266"/>
      <c r="AL42" s="222"/>
      <c r="AM42" s="222"/>
      <c r="AN42" s="222"/>
    </row>
    <row r="43" spans="1:40" s="231" customFormat="1" ht="24" customHeight="1" thickBot="1">
      <c r="A43" s="222"/>
      <c r="B43" s="222"/>
      <c r="C43" s="226"/>
      <c r="D43" s="294" t="s">
        <v>199</v>
      </c>
      <c r="E43" s="295" t="s">
        <v>200</v>
      </c>
      <c r="F43" s="296"/>
      <c r="G43" s="297"/>
      <c r="H43" s="297"/>
      <c r="I43" s="296"/>
      <c r="J43" s="297"/>
      <c r="K43" s="297"/>
      <c r="L43" s="297"/>
      <c r="M43" s="297"/>
      <c r="N43" s="297"/>
      <c r="O43" s="297"/>
      <c r="P43" s="297"/>
      <c r="Q43" s="298"/>
      <c r="R43" s="299"/>
      <c r="S43" s="300"/>
      <c r="T43" s="301" t="e">
        <f>ROUND(-7.6*$R$8+2.5*$K$1+13.5,1)</f>
        <v>#DIV/0!</v>
      </c>
      <c r="U43" s="295" t="s">
        <v>201</v>
      </c>
      <c r="V43" s="302"/>
      <c r="W43" s="302"/>
      <c r="X43" s="297"/>
      <c r="Y43" s="297"/>
      <c r="Z43" s="297"/>
      <c r="AA43" s="297"/>
      <c r="AB43" s="297"/>
      <c r="AC43" s="303"/>
      <c r="AD43" s="304"/>
      <c r="AE43" s="305" t="e">
        <f>ROUND(-3.4*$R$8+4.6,1)</f>
        <v>#DIV/0!</v>
      </c>
      <c r="AF43" s="280"/>
      <c r="AG43" s="266"/>
      <c r="AH43" s="222"/>
      <c r="AI43" s="222"/>
      <c r="AJ43" s="222"/>
      <c r="AK43" s="266"/>
      <c r="AL43" s="222"/>
      <c r="AM43" s="222"/>
      <c r="AN43" s="222"/>
    </row>
    <row r="44" spans="1:40" s="231" customFormat="1" ht="24" customHeight="1">
      <c r="A44" s="222"/>
      <c r="B44" s="222"/>
      <c r="C44" s="226"/>
      <c r="D44" s="222"/>
      <c r="E44" s="222"/>
      <c r="F44" s="222"/>
      <c r="G44" s="222"/>
      <c r="H44" s="222"/>
      <c r="I44" s="221"/>
      <c r="J44" s="222"/>
      <c r="K44" s="222"/>
      <c r="L44" s="222"/>
      <c r="M44" s="222"/>
      <c r="N44" s="222"/>
      <c r="O44" s="222"/>
      <c r="P44" s="222"/>
      <c r="Q44" s="226"/>
      <c r="R44" s="292"/>
      <c r="S44" s="292"/>
      <c r="T44" s="226"/>
      <c r="U44" s="222"/>
      <c r="V44" s="222"/>
      <c r="W44" s="292"/>
      <c r="X44" s="222"/>
      <c r="Y44" s="222"/>
      <c r="Z44" s="222"/>
      <c r="AA44" s="222"/>
      <c r="AB44" s="222"/>
      <c r="AC44" s="222"/>
      <c r="AD44" s="222"/>
      <c r="AE44" s="221"/>
      <c r="AF44" s="221"/>
      <c r="AG44" s="266"/>
      <c r="AH44" s="222"/>
      <c r="AI44" s="292"/>
      <c r="AJ44" s="222"/>
      <c r="AK44" s="266"/>
      <c r="AL44" s="222"/>
      <c r="AM44" s="222"/>
      <c r="AN44" s="222"/>
    </row>
    <row r="45" spans="1:40" s="231" customFormat="1" ht="24" customHeight="1" thickBot="1">
      <c r="A45" s="222"/>
      <c r="B45" s="222"/>
      <c r="C45" s="223" t="s">
        <v>202</v>
      </c>
      <c r="D45" s="222"/>
      <c r="E45" s="222"/>
      <c r="F45" s="221"/>
      <c r="G45" s="222"/>
      <c r="H45" s="222"/>
      <c r="I45" s="221"/>
      <c r="J45" s="222"/>
      <c r="K45" s="222"/>
      <c r="L45" s="222"/>
      <c r="M45" s="222"/>
      <c r="N45" s="222"/>
      <c r="O45" s="266"/>
      <c r="P45" s="222"/>
      <c r="Q45" s="281"/>
      <c r="R45" s="221"/>
      <c r="S45" s="221"/>
      <c r="T45" s="222"/>
      <c r="U45" s="222"/>
      <c r="V45" s="222"/>
      <c r="W45" s="266"/>
      <c r="X45" s="222"/>
      <c r="Y45" s="222"/>
      <c r="Z45" s="222"/>
      <c r="AA45" s="222"/>
      <c r="AB45" s="222"/>
      <c r="AC45" s="281"/>
      <c r="AD45" s="281"/>
      <c r="AE45" s="222"/>
      <c r="AF45" s="222"/>
      <c r="AG45" s="221"/>
      <c r="AH45" s="222"/>
      <c r="AI45" s="221"/>
      <c r="AJ45" s="222"/>
      <c r="AK45" s="266"/>
      <c r="AL45" s="222"/>
      <c r="AM45" s="222"/>
      <c r="AN45" s="222"/>
    </row>
    <row r="46" spans="1:40" s="231" customFormat="1" ht="24" customHeight="1">
      <c r="A46" s="222"/>
      <c r="B46" s="222"/>
      <c r="C46" s="226"/>
      <c r="D46" s="306"/>
      <c r="E46" s="307"/>
      <c r="F46" s="308" t="s">
        <v>203</v>
      </c>
      <c r="G46" s="309"/>
      <c r="H46" s="1643" t="s">
        <v>204</v>
      </c>
      <c r="I46" s="1644"/>
      <c r="J46" s="1645"/>
      <c r="K46" s="1696" t="s">
        <v>205</v>
      </c>
      <c r="L46" s="1697"/>
      <c r="M46" s="1697"/>
      <c r="N46" s="1697"/>
      <c r="O46" s="1697"/>
      <c r="P46" s="1697"/>
      <c r="Q46" s="1697"/>
      <c r="R46" s="1697"/>
      <c r="S46" s="1697"/>
      <c r="T46" s="1697"/>
      <c r="U46" s="1697"/>
      <c r="V46" s="1697"/>
      <c r="W46" s="1697"/>
      <c r="X46" s="1697"/>
      <c r="Y46" s="1698"/>
      <c r="Z46" s="1648" t="s">
        <v>206</v>
      </c>
      <c r="AA46" s="1649"/>
      <c r="AB46" s="1649"/>
      <c r="AC46" s="1649"/>
      <c r="AD46" s="1649"/>
      <c r="AE46" s="1650"/>
      <c r="AF46" s="310"/>
      <c r="AH46" s="222"/>
      <c r="AI46" s="292"/>
      <c r="AJ46" s="222"/>
      <c r="AK46" s="266"/>
      <c r="AL46" s="222"/>
      <c r="AM46" s="222"/>
      <c r="AN46" s="222"/>
    </row>
    <row r="47" spans="1:40" s="231" customFormat="1" ht="24" customHeight="1">
      <c r="A47" s="222"/>
      <c r="B47" s="222"/>
      <c r="C47" s="226"/>
      <c r="D47" s="311" t="s">
        <v>207</v>
      </c>
      <c r="E47" s="312"/>
      <c r="F47" s="312"/>
      <c r="G47" s="313"/>
      <c r="H47" s="1626"/>
      <c r="I47" s="1646"/>
      <c r="J47" s="1647"/>
      <c r="K47" s="315"/>
      <c r="L47" s="1656" t="s">
        <v>50</v>
      </c>
      <c r="M47" s="1690"/>
      <c r="N47" s="1690"/>
      <c r="O47" s="1690"/>
      <c r="P47" s="1690"/>
      <c r="Q47" s="1690"/>
      <c r="R47" s="1690"/>
      <c r="S47" s="1669"/>
      <c r="T47" s="1656" t="s">
        <v>51</v>
      </c>
      <c r="U47" s="1657"/>
      <c r="V47" s="1657"/>
      <c r="W47" s="1657"/>
      <c r="X47" s="1657"/>
      <c r="Y47" s="1658"/>
      <c r="Z47" s="1651" t="s">
        <v>208</v>
      </c>
      <c r="AA47" s="1652"/>
      <c r="AB47" s="1659"/>
      <c r="AC47" s="1651" t="s">
        <v>209</v>
      </c>
      <c r="AD47" s="1652"/>
      <c r="AE47" s="1653"/>
      <c r="AF47" s="310"/>
      <c r="AH47" s="222"/>
      <c r="AI47" s="292"/>
      <c r="AJ47" s="222"/>
      <c r="AK47" s="266"/>
      <c r="AL47" s="222"/>
      <c r="AM47" s="222"/>
      <c r="AN47" s="222"/>
    </row>
    <row r="48" spans="1:40" s="231" customFormat="1" ht="24" customHeight="1">
      <c r="A48" s="222"/>
      <c r="B48" s="222"/>
      <c r="C48" s="226"/>
      <c r="D48" s="1634" t="s">
        <v>210</v>
      </c>
      <c r="E48" s="1635"/>
      <c r="F48" s="1635"/>
      <c r="G48" s="1636"/>
      <c r="H48" s="1633" t="s">
        <v>211</v>
      </c>
      <c r="I48" s="1633"/>
      <c r="J48" s="1633"/>
      <c r="K48" s="316" t="s">
        <v>194</v>
      </c>
      <c r="L48" s="317" t="e">
        <f>SUM($T$41:$T$41)</f>
        <v>#DIV/0!</v>
      </c>
      <c r="M48" s="318"/>
      <c r="N48" s="222"/>
      <c r="O48" s="222"/>
      <c r="P48" s="222"/>
      <c r="Q48" s="222"/>
      <c r="R48" s="318"/>
      <c r="S48" s="290"/>
      <c r="T48" s="317" t="e">
        <f>SUM($AE$41:$AE$41)</f>
        <v>#DIV/0!</v>
      </c>
      <c r="U48" s="318"/>
      <c r="V48" s="319"/>
      <c r="W48" s="320"/>
      <c r="X48" s="321"/>
      <c r="Y48" s="322"/>
      <c r="Z48" s="323">
        <v>0.4</v>
      </c>
      <c r="AA48" s="318"/>
      <c r="AB48" s="324"/>
      <c r="AC48" s="325">
        <v>2.5</v>
      </c>
      <c r="AD48" s="318"/>
      <c r="AE48" s="291"/>
      <c r="AF48" s="326"/>
      <c r="AH48" s="222"/>
      <c r="AI48" s="222"/>
      <c r="AJ48" s="222"/>
      <c r="AK48" s="266"/>
      <c r="AL48" s="222"/>
      <c r="AM48" s="222"/>
      <c r="AN48" s="222"/>
    </row>
    <row r="49" spans="1:40" s="231" customFormat="1" ht="24" customHeight="1">
      <c r="A49" s="222"/>
      <c r="B49" s="222"/>
      <c r="C49" s="226">
        <f>IF($K$3=1,"○","")</f>
      </c>
      <c r="D49" s="1637"/>
      <c r="E49" s="1638"/>
      <c r="F49" s="1638"/>
      <c r="G49" s="1639"/>
      <c r="H49" s="1633" t="s">
        <v>212</v>
      </c>
      <c r="I49" s="1633"/>
      <c r="J49" s="1633"/>
      <c r="K49" s="316" t="s">
        <v>196</v>
      </c>
      <c r="L49" s="317" t="e">
        <f>+$T$42</f>
        <v>#DIV/0!</v>
      </c>
      <c r="M49" s="1707" t="s">
        <v>213</v>
      </c>
      <c r="N49" s="1708"/>
      <c r="O49" s="1708"/>
      <c r="P49" s="1708"/>
      <c r="Q49" s="222"/>
      <c r="R49" s="1693" t="e">
        <f>SUM(L48:L50)</f>
        <v>#DIV/0!</v>
      </c>
      <c r="S49" s="1617"/>
      <c r="T49" s="317" t="e">
        <f>+$AE$42</f>
        <v>#DIV/0!</v>
      </c>
      <c r="U49" s="327" t="s">
        <v>214</v>
      </c>
      <c r="V49" s="223"/>
      <c r="X49" s="329"/>
      <c r="Y49" s="330" t="e">
        <f>SUM(T48:T50)</f>
        <v>#DIV/0!</v>
      </c>
      <c r="Z49" s="331" t="s">
        <v>215</v>
      </c>
      <c r="AA49" s="332" t="s">
        <v>4</v>
      </c>
      <c r="AB49" s="328">
        <f>SUM(Z48:Z50)</f>
        <v>0.5</v>
      </c>
      <c r="AC49" s="333">
        <v>1.5</v>
      </c>
      <c r="AD49" s="332" t="s">
        <v>4</v>
      </c>
      <c r="AE49" s="291">
        <f>SUM(AC48:AC50)</f>
        <v>6.5</v>
      </c>
      <c r="AF49" s="326"/>
      <c r="AH49" s="221"/>
      <c r="AI49" s="292"/>
      <c r="AJ49" s="222"/>
      <c r="AK49" s="266"/>
      <c r="AL49" s="222"/>
      <c r="AM49" s="222"/>
      <c r="AN49" s="222"/>
    </row>
    <row r="50" spans="1:40" s="231" customFormat="1" ht="24" customHeight="1">
      <c r="A50" s="222"/>
      <c r="B50" s="222"/>
      <c r="C50" s="222"/>
      <c r="D50" s="1640"/>
      <c r="E50" s="1641"/>
      <c r="F50" s="1641"/>
      <c r="G50" s="1642"/>
      <c r="H50" s="1633" t="s">
        <v>216</v>
      </c>
      <c r="I50" s="1633"/>
      <c r="J50" s="1633"/>
      <c r="K50" s="316" t="s">
        <v>199</v>
      </c>
      <c r="L50" s="317" t="e">
        <f>+$T$43</f>
        <v>#DIV/0!</v>
      </c>
      <c r="M50" s="315"/>
      <c r="N50" s="312"/>
      <c r="O50" s="312"/>
      <c r="P50" s="312"/>
      <c r="Q50" s="312"/>
      <c r="R50" s="334"/>
      <c r="S50" s="335"/>
      <c r="T50" s="317" t="e">
        <f>+$AE$43</f>
        <v>#DIV/0!</v>
      </c>
      <c r="U50" s="315"/>
      <c r="V50" s="312"/>
      <c r="W50" s="336"/>
      <c r="X50" s="337"/>
      <c r="Y50" s="338"/>
      <c r="Z50" s="339">
        <v>0.1</v>
      </c>
      <c r="AA50" s="315"/>
      <c r="AB50" s="325"/>
      <c r="AC50" s="340">
        <v>2.5</v>
      </c>
      <c r="AD50" s="315"/>
      <c r="AE50" s="341"/>
      <c r="AF50" s="326"/>
      <c r="AH50" s="222"/>
      <c r="AI50" s="226"/>
      <c r="AJ50" s="222"/>
      <c r="AK50" s="266"/>
      <c r="AL50" s="222"/>
      <c r="AM50" s="222"/>
      <c r="AN50" s="222"/>
    </row>
    <row r="51" spans="1:40" s="231" customFormat="1" ht="24" customHeight="1">
      <c r="A51" s="222"/>
      <c r="B51" s="222"/>
      <c r="C51" s="221"/>
      <c r="D51" s="1634" t="s">
        <v>217</v>
      </c>
      <c r="E51" s="1635"/>
      <c r="F51" s="1635"/>
      <c r="G51" s="1636"/>
      <c r="H51" s="1629" t="s">
        <v>218</v>
      </c>
      <c r="I51" s="1630"/>
      <c r="J51" s="1630"/>
      <c r="K51" s="1691" t="s">
        <v>184</v>
      </c>
      <c r="L51" s="1619" t="e">
        <f>+$T$37</f>
        <v>#DIV/0!</v>
      </c>
      <c r="M51" s="288"/>
      <c r="N51" s="222"/>
      <c r="O51" s="222"/>
      <c r="P51" s="222"/>
      <c r="Q51" s="222"/>
      <c r="R51" s="342"/>
      <c r="S51" s="343"/>
      <c r="T51" s="1619" t="e">
        <f>+$AE$37</f>
        <v>#DIV/0!</v>
      </c>
      <c r="U51" s="327"/>
      <c r="V51" s="344"/>
      <c r="X51" s="329"/>
      <c r="Y51" s="343"/>
      <c r="Z51" s="1627">
        <v>0.9</v>
      </c>
      <c r="AA51" s="1624" t="s">
        <v>4</v>
      </c>
      <c r="AB51" s="324"/>
      <c r="AC51" s="1654">
        <v>7.3</v>
      </c>
      <c r="AD51" s="1624" t="s">
        <v>4</v>
      </c>
      <c r="AE51" s="345"/>
      <c r="AF51" s="326"/>
      <c r="AH51" s="222"/>
      <c r="AI51" s="222"/>
      <c r="AJ51" s="222"/>
      <c r="AK51" s="266"/>
      <c r="AL51" s="222"/>
      <c r="AM51" s="222"/>
      <c r="AN51" s="222"/>
    </row>
    <row r="52" spans="1:40" s="231" customFormat="1" ht="24" customHeight="1">
      <c r="A52" s="222"/>
      <c r="B52" s="222"/>
      <c r="C52" s="222"/>
      <c r="D52" s="1637"/>
      <c r="E52" s="1638"/>
      <c r="F52" s="1638"/>
      <c r="G52" s="1639"/>
      <c r="H52" s="1631"/>
      <c r="I52" s="1631"/>
      <c r="J52" s="1631"/>
      <c r="K52" s="1692"/>
      <c r="L52" s="1620"/>
      <c r="M52" s="288"/>
      <c r="N52" s="222"/>
      <c r="O52" s="222"/>
      <c r="P52" s="222"/>
      <c r="Q52" s="222"/>
      <c r="R52" s="342"/>
      <c r="S52" s="343"/>
      <c r="T52" s="1620"/>
      <c r="U52" s="347"/>
      <c r="V52" s="344"/>
      <c r="X52" s="329"/>
      <c r="Y52" s="343"/>
      <c r="Z52" s="1628"/>
      <c r="AA52" s="1625"/>
      <c r="AB52" s="328"/>
      <c r="AC52" s="1655"/>
      <c r="AD52" s="1625"/>
      <c r="AE52" s="291"/>
      <c r="AF52" s="326"/>
      <c r="AH52" s="222"/>
      <c r="AI52" s="222"/>
      <c r="AJ52" s="222"/>
      <c r="AK52" s="266"/>
      <c r="AL52" s="222"/>
      <c r="AM52" s="222"/>
      <c r="AN52" s="222"/>
    </row>
    <row r="53" spans="1:40" s="231" customFormat="1" ht="24" customHeight="1">
      <c r="A53" s="222"/>
      <c r="B53" s="222"/>
      <c r="C53" s="222">
        <f>IF($K$3=2,"○","")</f>
      </c>
      <c r="D53" s="1637"/>
      <c r="E53" s="1638"/>
      <c r="F53" s="1638"/>
      <c r="G53" s="1639"/>
      <c r="H53" s="1633" t="s">
        <v>211</v>
      </c>
      <c r="I53" s="1633"/>
      <c r="J53" s="1633"/>
      <c r="K53" s="316" t="s">
        <v>194</v>
      </c>
      <c r="L53" s="317" t="e">
        <f>SUM($T$41:$T$41)</f>
        <v>#DIV/0!</v>
      </c>
      <c r="M53" s="327" t="s">
        <v>219</v>
      </c>
      <c r="N53" s="223"/>
      <c r="O53" s="223"/>
      <c r="P53" s="223"/>
      <c r="Q53" s="222"/>
      <c r="R53" s="1693" t="e">
        <f>SUM(L51:L55)</f>
        <v>#DIV/0!</v>
      </c>
      <c r="S53" s="1617"/>
      <c r="T53" s="317" t="e">
        <f>SUM($AE$41:$AE$41)</f>
        <v>#DIV/0!</v>
      </c>
      <c r="U53" s="327" t="s">
        <v>220</v>
      </c>
      <c r="V53" s="223"/>
      <c r="W53" s="348"/>
      <c r="X53" s="223"/>
      <c r="Y53" s="330" t="e">
        <f>SUM(T51:T55)</f>
        <v>#DIV/0!</v>
      </c>
      <c r="Z53" s="349">
        <v>0.4</v>
      </c>
      <c r="AA53" s="1625"/>
      <c r="AB53" s="328">
        <f>SUM(Z51:Z55)</f>
        <v>1.4000000000000001</v>
      </c>
      <c r="AC53" s="350">
        <v>2.5</v>
      </c>
      <c r="AD53" s="1625"/>
      <c r="AE53" s="291">
        <f>SUM(AC51:AC55)</f>
        <v>13.8</v>
      </c>
      <c r="AF53" s="326"/>
      <c r="AH53" s="222"/>
      <c r="AI53" s="222"/>
      <c r="AJ53" s="222"/>
      <c r="AK53" s="266"/>
      <c r="AL53" s="222"/>
      <c r="AM53" s="222"/>
      <c r="AN53" s="222"/>
    </row>
    <row r="54" spans="1:40" s="231" customFormat="1" ht="24" customHeight="1">
      <c r="A54" s="222"/>
      <c r="B54" s="222"/>
      <c r="C54" s="222"/>
      <c r="D54" s="1637"/>
      <c r="E54" s="1638"/>
      <c r="F54" s="1638"/>
      <c r="G54" s="1639"/>
      <c r="H54" s="1633" t="s">
        <v>212</v>
      </c>
      <c r="I54" s="1633"/>
      <c r="J54" s="1633"/>
      <c r="K54" s="316" t="s">
        <v>196</v>
      </c>
      <c r="L54" s="317" t="e">
        <f>+$T$42</f>
        <v>#DIV/0!</v>
      </c>
      <c r="M54" s="351"/>
      <c r="N54" s="222"/>
      <c r="O54" s="222"/>
      <c r="P54" s="222"/>
      <c r="Q54" s="222"/>
      <c r="R54" s="288"/>
      <c r="S54" s="290"/>
      <c r="T54" s="317" t="e">
        <f>+$AE$42</f>
        <v>#DIV/0!</v>
      </c>
      <c r="U54" s="347"/>
      <c r="V54" s="344"/>
      <c r="X54" s="329"/>
      <c r="Y54" s="343"/>
      <c r="Z54" s="331" t="s">
        <v>215</v>
      </c>
      <c r="AA54" s="1625"/>
      <c r="AB54" s="328"/>
      <c r="AC54" s="340">
        <v>1.5</v>
      </c>
      <c r="AD54" s="1625"/>
      <c r="AE54" s="291"/>
      <c r="AF54" s="326"/>
      <c r="AH54" s="222"/>
      <c r="AI54" s="222"/>
      <c r="AJ54" s="222"/>
      <c r="AK54" s="266"/>
      <c r="AL54" s="222"/>
      <c r="AM54" s="222"/>
      <c r="AN54" s="222"/>
    </row>
    <row r="55" spans="1:40" s="231" customFormat="1" ht="24" customHeight="1">
      <c r="A55" s="222"/>
      <c r="B55" s="222"/>
      <c r="C55" s="222"/>
      <c r="D55" s="1640"/>
      <c r="E55" s="1641"/>
      <c r="F55" s="1641"/>
      <c r="G55" s="1642"/>
      <c r="H55" s="1633" t="s">
        <v>216</v>
      </c>
      <c r="I55" s="1633"/>
      <c r="J55" s="1633"/>
      <c r="K55" s="316" t="s">
        <v>199</v>
      </c>
      <c r="L55" s="317" t="e">
        <f>+$T$43</f>
        <v>#DIV/0!</v>
      </c>
      <c r="M55" s="315"/>
      <c r="N55" s="312"/>
      <c r="O55" s="312"/>
      <c r="P55" s="312"/>
      <c r="Q55" s="312"/>
      <c r="R55" s="315"/>
      <c r="S55" s="313"/>
      <c r="T55" s="317" t="e">
        <f>+$AE$43</f>
        <v>#DIV/0!</v>
      </c>
      <c r="U55" s="352"/>
      <c r="V55" s="353"/>
      <c r="W55" s="336"/>
      <c r="X55" s="337"/>
      <c r="Y55" s="338"/>
      <c r="Z55" s="339">
        <v>0.1</v>
      </c>
      <c r="AA55" s="1626"/>
      <c r="AB55" s="325"/>
      <c r="AC55" s="340">
        <v>2.5</v>
      </c>
      <c r="AD55" s="1626"/>
      <c r="AE55" s="341"/>
      <c r="AF55" s="326"/>
      <c r="AH55" s="222"/>
      <c r="AI55" s="222"/>
      <c r="AJ55" s="222"/>
      <c r="AK55" s="266"/>
      <c r="AL55" s="222"/>
      <c r="AM55" s="222"/>
      <c r="AN55" s="222"/>
    </row>
    <row r="56" spans="1:40" s="231" customFormat="1" ht="24" customHeight="1">
      <c r="A56" s="222"/>
      <c r="B56" s="222"/>
      <c r="C56" s="1706" t="str">
        <f>IF($K$3=3,"○","")</f>
        <v>○</v>
      </c>
      <c r="D56" s="1634" t="s">
        <v>221</v>
      </c>
      <c r="E56" s="1635"/>
      <c r="F56" s="1635"/>
      <c r="G56" s="1636"/>
      <c r="H56" s="1692" t="s">
        <v>222</v>
      </c>
      <c r="I56" s="1692"/>
      <c r="J56" s="1692"/>
      <c r="K56" s="346" t="s">
        <v>187</v>
      </c>
      <c r="L56" s="317" t="e">
        <f>+$T$38</f>
        <v>#DIV/0!</v>
      </c>
      <c r="M56" s="354"/>
      <c r="N56" s="355"/>
      <c r="O56" s="355"/>
      <c r="P56" s="355"/>
      <c r="Q56" s="222"/>
      <c r="R56" s="1694" t="e">
        <f>SUM(L56:L61)</f>
        <v>#DIV/0!</v>
      </c>
      <c r="S56" s="1616"/>
      <c r="T56" s="317" t="e">
        <f>+$AE$38</f>
        <v>#DIV/0!</v>
      </c>
      <c r="U56" s="351"/>
      <c r="X56" s="329"/>
      <c r="Y56" s="1733" t="e">
        <f>SUM(T56:T61)</f>
        <v>#DIV/0!</v>
      </c>
      <c r="Z56" s="349">
        <v>0.5</v>
      </c>
      <c r="AA56" s="1624" t="s">
        <v>4</v>
      </c>
      <c r="AB56" s="1616">
        <f>SUM(Z56:Z61)</f>
        <v>1.4</v>
      </c>
      <c r="AC56" s="350">
        <v>2.9</v>
      </c>
      <c r="AD56" s="1624" t="s">
        <v>4</v>
      </c>
      <c r="AE56" s="1621">
        <f>SUM(AC56:AC61)</f>
        <v>13.8</v>
      </c>
      <c r="AF56" s="326"/>
      <c r="AH56" s="221"/>
      <c r="AI56" s="222"/>
      <c r="AJ56" s="222"/>
      <c r="AK56" s="221"/>
      <c r="AL56" s="222"/>
      <c r="AM56" s="222"/>
      <c r="AN56" s="222"/>
    </row>
    <row r="57" spans="1:40" s="231" customFormat="1" ht="24" customHeight="1">
      <c r="A57" s="222"/>
      <c r="B57" s="222"/>
      <c r="C57" s="1706"/>
      <c r="D57" s="1637"/>
      <c r="E57" s="1638"/>
      <c r="F57" s="1638"/>
      <c r="G57" s="1639"/>
      <c r="H57" s="1633" t="s">
        <v>223</v>
      </c>
      <c r="I57" s="1633"/>
      <c r="J57" s="1633"/>
      <c r="K57" s="316" t="s">
        <v>189</v>
      </c>
      <c r="L57" s="317" t="e">
        <f>+$T$39</f>
        <v>#DIV/0!</v>
      </c>
      <c r="M57" s="327"/>
      <c r="N57" s="223"/>
      <c r="O57" s="223"/>
      <c r="P57" s="223"/>
      <c r="Q57" s="356"/>
      <c r="R57" s="1693"/>
      <c r="S57" s="1617"/>
      <c r="T57" s="317" t="e">
        <f>+$AE$39</f>
        <v>#DIV/0!</v>
      </c>
      <c r="U57" s="329"/>
      <c r="X57" s="329"/>
      <c r="Y57" s="1734"/>
      <c r="Z57" s="349">
        <v>0.2</v>
      </c>
      <c r="AA57" s="1625"/>
      <c r="AB57" s="1617"/>
      <c r="AC57" s="350">
        <v>2.1</v>
      </c>
      <c r="AD57" s="1625"/>
      <c r="AE57" s="1622"/>
      <c r="AF57" s="326"/>
      <c r="AH57" s="221"/>
      <c r="AI57" s="222"/>
      <c r="AJ57" s="222"/>
      <c r="AK57" s="221"/>
      <c r="AL57" s="222"/>
      <c r="AM57" s="222"/>
      <c r="AN57" s="222"/>
    </row>
    <row r="58" spans="1:40" s="231" customFormat="1" ht="24" customHeight="1">
      <c r="A58" s="222"/>
      <c r="B58" s="222"/>
      <c r="C58" s="1706"/>
      <c r="D58" s="1637"/>
      <c r="E58" s="1638"/>
      <c r="F58" s="1638"/>
      <c r="G58" s="1639"/>
      <c r="H58" s="1633" t="s">
        <v>224</v>
      </c>
      <c r="I58" s="1633"/>
      <c r="J58" s="1633"/>
      <c r="K58" s="316" t="s">
        <v>191</v>
      </c>
      <c r="L58" s="317" t="e">
        <f>+$T$40</f>
        <v>#DIV/0!</v>
      </c>
      <c r="M58" s="357" t="s">
        <v>225</v>
      </c>
      <c r="N58" s="223"/>
      <c r="O58" s="223"/>
      <c r="P58" s="223"/>
      <c r="Q58" s="222"/>
      <c r="R58" s="1693"/>
      <c r="S58" s="1617"/>
      <c r="T58" s="317" t="e">
        <f>+$AE$40</f>
        <v>#DIV/0!</v>
      </c>
      <c r="U58" s="327" t="s">
        <v>226</v>
      </c>
      <c r="X58" s="329"/>
      <c r="Y58" s="1734"/>
      <c r="Z58" s="349">
        <v>0.2</v>
      </c>
      <c r="AA58" s="1625"/>
      <c r="AB58" s="1617"/>
      <c r="AC58" s="350">
        <v>2.3</v>
      </c>
      <c r="AD58" s="1625"/>
      <c r="AE58" s="1622"/>
      <c r="AF58" s="326"/>
      <c r="AH58" s="222"/>
      <c r="AI58" s="222"/>
      <c r="AJ58" s="222"/>
      <c r="AK58" s="222"/>
      <c r="AL58" s="222"/>
      <c r="AM58" s="222"/>
      <c r="AN58" s="222"/>
    </row>
    <row r="59" spans="1:40" s="231" customFormat="1" ht="24" customHeight="1">
      <c r="A59" s="222"/>
      <c r="B59" s="222"/>
      <c r="C59" s="1706"/>
      <c r="D59" s="1637"/>
      <c r="E59" s="1638"/>
      <c r="F59" s="1638"/>
      <c r="G59" s="1639"/>
      <c r="H59" s="1633" t="s">
        <v>211</v>
      </c>
      <c r="I59" s="1633"/>
      <c r="J59" s="1633"/>
      <c r="K59" s="316" t="s">
        <v>194</v>
      </c>
      <c r="L59" s="317" t="e">
        <f>SUM($T$41:$T$41)</f>
        <v>#DIV/0!</v>
      </c>
      <c r="M59" s="327" t="s">
        <v>257</v>
      </c>
      <c r="N59" s="223"/>
      <c r="O59" s="223"/>
      <c r="P59" s="223"/>
      <c r="Q59" s="222"/>
      <c r="R59" s="1693"/>
      <c r="S59" s="1617"/>
      <c r="T59" s="317" t="e">
        <f>SUM($AE$41:$AE$41)</f>
        <v>#DIV/0!</v>
      </c>
      <c r="U59" s="327" t="s">
        <v>257</v>
      </c>
      <c r="X59" s="329"/>
      <c r="Y59" s="1734"/>
      <c r="Z59" s="349">
        <v>0.4</v>
      </c>
      <c r="AA59" s="1625"/>
      <c r="AB59" s="1617"/>
      <c r="AC59" s="350">
        <v>2.5</v>
      </c>
      <c r="AD59" s="1625"/>
      <c r="AE59" s="1622"/>
      <c r="AF59" s="326"/>
      <c r="AH59" s="222"/>
      <c r="AI59" s="222"/>
      <c r="AJ59" s="222"/>
      <c r="AK59" s="222"/>
      <c r="AL59" s="222"/>
      <c r="AM59" s="222"/>
      <c r="AN59" s="222"/>
    </row>
    <row r="60" spans="1:40" s="231" customFormat="1" ht="24" customHeight="1">
      <c r="A60" s="222"/>
      <c r="B60" s="222"/>
      <c r="C60" s="1706"/>
      <c r="D60" s="1637"/>
      <c r="E60" s="1638"/>
      <c r="F60" s="1638"/>
      <c r="G60" s="1639"/>
      <c r="H60" s="1633" t="s">
        <v>212</v>
      </c>
      <c r="I60" s="1633"/>
      <c r="J60" s="1633"/>
      <c r="K60" s="316" t="s">
        <v>196</v>
      </c>
      <c r="L60" s="317" t="e">
        <f>+$T$42</f>
        <v>#DIV/0!</v>
      </c>
      <c r="M60" s="327"/>
      <c r="N60" s="223"/>
      <c r="O60" s="223"/>
      <c r="P60" s="223"/>
      <c r="Q60" s="222"/>
      <c r="R60" s="1693"/>
      <c r="S60" s="1617"/>
      <c r="T60" s="317" t="e">
        <f>+$AE$42</f>
        <v>#DIV/0!</v>
      </c>
      <c r="U60" s="329"/>
      <c r="X60" s="329"/>
      <c r="Y60" s="1734"/>
      <c r="Z60" s="331" t="s">
        <v>215</v>
      </c>
      <c r="AA60" s="1625"/>
      <c r="AB60" s="1617"/>
      <c r="AC60" s="340">
        <v>1.5</v>
      </c>
      <c r="AD60" s="1625"/>
      <c r="AE60" s="1622"/>
      <c r="AF60" s="326"/>
      <c r="AH60" s="281"/>
      <c r="AI60" s="281"/>
      <c r="AJ60" s="222"/>
      <c r="AK60" s="222"/>
      <c r="AL60" s="222"/>
      <c r="AM60" s="222"/>
      <c r="AN60" s="222"/>
    </row>
    <row r="61" spans="1:40" s="231" customFormat="1" ht="24" customHeight="1" thickBot="1">
      <c r="A61" s="222"/>
      <c r="B61" s="222"/>
      <c r="C61" s="1706"/>
      <c r="D61" s="1703"/>
      <c r="E61" s="1704"/>
      <c r="F61" s="1704"/>
      <c r="G61" s="1705"/>
      <c r="H61" s="1709" t="s">
        <v>216</v>
      </c>
      <c r="I61" s="1709"/>
      <c r="J61" s="1709"/>
      <c r="K61" s="358" t="s">
        <v>199</v>
      </c>
      <c r="L61" s="359" t="e">
        <f>+$T$43</f>
        <v>#DIV/0!</v>
      </c>
      <c r="M61" s="360"/>
      <c r="N61" s="361"/>
      <c r="O61" s="361"/>
      <c r="P61" s="361"/>
      <c r="Q61" s="362"/>
      <c r="R61" s="1695"/>
      <c r="S61" s="1618"/>
      <c r="T61" s="359" t="e">
        <f>+$AE$43</f>
        <v>#DIV/0!</v>
      </c>
      <c r="U61" s="363"/>
      <c r="V61" s="364"/>
      <c r="W61" s="364"/>
      <c r="X61" s="363"/>
      <c r="Y61" s="1735"/>
      <c r="Z61" s="365">
        <v>0.1</v>
      </c>
      <c r="AA61" s="1632"/>
      <c r="AB61" s="1618"/>
      <c r="AC61" s="301">
        <v>2.5</v>
      </c>
      <c r="AD61" s="1632"/>
      <c r="AE61" s="1623"/>
      <c r="AF61" s="326"/>
      <c r="AH61" s="281"/>
      <c r="AI61" s="281"/>
      <c r="AJ61" s="281"/>
      <c r="AK61" s="222"/>
      <c r="AL61" s="222"/>
      <c r="AM61" s="222"/>
      <c r="AN61" s="222"/>
    </row>
    <row r="62" spans="1:40" s="231" customFormat="1" ht="24" customHeight="1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81"/>
      <c r="S62" s="281"/>
      <c r="T62" s="281"/>
      <c r="U62" s="281"/>
      <c r="V62" s="281"/>
      <c r="W62" s="281"/>
      <c r="X62" s="281"/>
      <c r="Y62" s="281"/>
      <c r="Z62" s="237"/>
      <c r="AA62" s="281"/>
      <c r="AB62" s="281"/>
      <c r="AC62" s="281"/>
      <c r="AD62" s="281"/>
      <c r="AE62" s="281"/>
      <c r="AF62" s="281"/>
      <c r="AG62" s="222"/>
      <c r="AH62" s="222"/>
      <c r="AI62" s="222"/>
      <c r="AJ62" s="222"/>
      <c r="AK62" s="222"/>
      <c r="AL62" s="222"/>
      <c r="AM62" s="222"/>
      <c r="AN62" s="222"/>
    </row>
    <row r="63" spans="1:40" s="231" customFormat="1" ht="24" customHeight="1" thickBot="1">
      <c r="A63" s="222"/>
      <c r="B63" s="222"/>
      <c r="C63" s="223" t="s">
        <v>227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1"/>
      <c r="AI63" s="222"/>
      <c r="AJ63" s="222"/>
      <c r="AK63" s="221"/>
      <c r="AL63" s="222"/>
      <c r="AM63" s="222"/>
      <c r="AN63" s="222"/>
    </row>
    <row r="64" spans="1:40" s="231" customFormat="1" ht="24" customHeight="1">
      <c r="A64" s="222"/>
      <c r="B64" s="222"/>
      <c r="C64" s="366"/>
      <c r="D64" s="1714" t="s">
        <v>228</v>
      </c>
      <c r="E64" s="1697"/>
      <c r="F64" s="1697"/>
      <c r="G64" s="1698"/>
      <c r="H64" s="1696" t="s">
        <v>229</v>
      </c>
      <c r="I64" s="1697"/>
      <c r="J64" s="1697"/>
      <c r="K64" s="1697"/>
      <c r="L64" s="1698"/>
      <c r="M64" s="1736" t="s">
        <v>230</v>
      </c>
      <c r="N64" s="1737"/>
      <c r="O64" s="1737"/>
      <c r="P64" s="1737"/>
      <c r="Q64" s="1737"/>
      <c r="R64" s="1737"/>
      <c r="S64" s="1737"/>
      <c r="T64" s="1737"/>
      <c r="U64" s="1737"/>
      <c r="V64" s="1737"/>
      <c r="W64" s="1737"/>
      <c r="X64" s="1737"/>
      <c r="Y64" s="1738"/>
      <c r="Z64" s="1696" t="s">
        <v>231</v>
      </c>
      <c r="AA64" s="1697"/>
      <c r="AB64" s="1697"/>
      <c r="AC64" s="1697"/>
      <c r="AD64" s="1697"/>
      <c r="AE64" s="1710"/>
      <c r="AF64" s="229"/>
      <c r="AG64" s="222"/>
      <c r="AH64" s="222"/>
      <c r="AI64" s="221"/>
      <c r="AJ64" s="222"/>
      <c r="AK64" s="222"/>
      <c r="AL64" s="222"/>
      <c r="AM64" s="222"/>
      <c r="AN64" s="222"/>
    </row>
    <row r="65" spans="1:40" s="231" customFormat="1" ht="24" customHeight="1">
      <c r="A65" s="222"/>
      <c r="B65" s="222"/>
      <c r="C65" s="367"/>
      <c r="D65" s="1715"/>
      <c r="E65" s="1712"/>
      <c r="F65" s="1712"/>
      <c r="G65" s="1716"/>
      <c r="H65" s="1711"/>
      <c r="I65" s="1712"/>
      <c r="J65" s="1712"/>
      <c r="K65" s="1712"/>
      <c r="L65" s="1716"/>
      <c r="M65" s="369"/>
      <c r="N65" s="370"/>
      <c r="O65" s="371"/>
      <c r="P65" s="1718" t="s">
        <v>232</v>
      </c>
      <c r="Q65" s="1718"/>
      <c r="R65" s="1718"/>
      <c r="S65" s="1718"/>
      <c r="T65" s="372"/>
      <c r="U65" s="1717" t="s">
        <v>49</v>
      </c>
      <c r="V65" s="1717"/>
      <c r="W65" s="268"/>
      <c r="X65" s="373"/>
      <c r="Y65" s="374"/>
      <c r="Z65" s="1711"/>
      <c r="AA65" s="1712"/>
      <c r="AB65" s="1712"/>
      <c r="AC65" s="1712"/>
      <c r="AD65" s="1712"/>
      <c r="AE65" s="1713"/>
      <c r="AF65" s="229"/>
      <c r="AG65" s="222"/>
      <c r="AH65" s="222"/>
      <c r="AI65" s="222"/>
      <c r="AJ65" s="222"/>
      <c r="AK65" s="222"/>
      <c r="AL65" s="222"/>
      <c r="AM65" s="222"/>
      <c r="AN65" s="222"/>
    </row>
    <row r="66" spans="1:40" s="231" customFormat="1" ht="24" customHeight="1">
      <c r="A66" s="222"/>
      <c r="B66" s="222"/>
      <c r="C66" s="367"/>
      <c r="D66" s="1681" t="s">
        <v>50</v>
      </c>
      <c r="E66" s="1646"/>
      <c r="F66" s="1646"/>
      <c r="G66" s="1646"/>
      <c r="H66" s="315"/>
      <c r="I66" s="312"/>
      <c r="J66" s="375" t="s">
        <v>286</v>
      </c>
      <c r="K66" s="376"/>
      <c r="L66" s="377" t="s">
        <v>233</v>
      </c>
      <c r="M66" s="378"/>
      <c r="N66" s="1739"/>
      <c r="O66" s="1646"/>
      <c r="P66" s="379"/>
      <c r="Q66" s="1732">
        <f>ROUND(N$8,1)</f>
        <v>0</v>
      </c>
      <c r="R66" s="1732"/>
      <c r="S66" s="380"/>
      <c r="T66" s="368" t="s">
        <v>234</v>
      </c>
      <c r="U66" s="285"/>
      <c r="V66" s="381" t="e">
        <f>IF(K$3=1,R$49,IF(K$3=2,R$53,R$56))</f>
        <v>#DIV/0!</v>
      </c>
      <c r="W66" s="314" t="s">
        <v>145</v>
      </c>
      <c r="X66" s="382" t="e">
        <f>ROUND(V66*Q66,1)</f>
        <v>#DIV/0!</v>
      </c>
      <c r="Y66" s="383"/>
      <c r="Z66" s="1656" t="e">
        <f>INT(X66)</f>
        <v>#DIV/0!</v>
      </c>
      <c r="AA66" s="1657"/>
      <c r="AB66" s="1657"/>
      <c r="AC66" s="1657"/>
      <c r="AD66" s="1657"/>
      <c r="AE66" s="384" t="s">
        <v>235</v>
      </c>
      <c r="AF66" s="226"/>
      <c r="AG66" s="292"/>
      <c r="AH66" s="222"/>
      <c r="AI66" s="222"/>
      <c r="AJ66" s="222"/>
      <c r="AK66" s="356"/>
      <c r="AL66" s="221"/>
      <c r="AM66" s="222"/>
      <c r="AN66" s="222"/>
    </row>
    <row r="67" spans="1:40" s="231" customFormat="1" ht="24" customHeight="1">
      <c r="A67" s="222"/>
      <c r="B67" s="222"/>
      <c r="C67" s="367"/>
      <c r="D67" s="1679" t="s">
        <v>51</v>
      </c>
      <c r="E67" s="1657"/>
      <c r="F67" s="1657"/>
      <c r="G67" s="1657"/>
      <c r="H67" s="315"/>
      <c r="I67" s="312"/>
      <c r="J67" s="385" t="s">
        <v>287</v>
      </c>
      <c r="K67" s="386"/>
      <c r="L67" s="377" t="s">
        <v>236</v>
      </c>
      <c r="M67" s="387"/>
      <c r="N67" s="1719"/>
      <c r="O67" s="1657"/>
      <c r="P67" s="312"/>
      <c r="Q67" s="1732">
        <f>ROUND(N$8,1)</f>
        <v>0</v>
      </c>
      <c r="R67" s="1732"/>
      <c r="S67" s="380"/>
      <c r="T67" s="314" t="s">
        <v>234</v>
      </c>
      <c r="U67" s="285"/>
      <c r="V67" s="381" t="e">
        <f>IF(K$3=1,Y$49,IF(K$3=2,Y$53,Y$56))</f>
        <v>#DIV/0!</v>
      </c>
      <c r="W67" s="314" t="s">
        <v>145</v>
      </c>
      <c r="X67" s="382" t="e">
        <f>ROUND(V67*Q67,1)</f>
        <v>#DIV/0!</v>
      </c>
      <c r="Y67" s="388"/>
      <c r="Z67" s="1656" t="e">
        <f>INT(X67)</f>
        <v>#DIV/0!</v>
      </c>
      <c r="AA67" s="1657"/>
      <c r="AB67" s="1657"/>
      <c r="AC67" s="1657"/>
      <c r="AD67" s="1657"/>
      <c r="AE67" s="384" t="s">
        <v>235</v>
      </c>
      <c r="AF67" s="226"/>
      <c r="AG67" s="292"/>
      <c r="AH67" s="222"/>
      <c r="AI67" s="222"/>
      <c r="AJ67" s="222"/>
      <c r="AK67" s="356"/>
      <c r="AL67" s="221"/>
      <c r="AM67" s="222"/>
      <c r="AN67" s="222"/>
    </row>
    <row r="68" spans="1:40" s="231" customFormat="1" ht="24" customHeight="1">
      <c r="A68" s="222"/>
      <c r="B68" s="222"/>
      <c r="C68" s="367"/>
      <c r="D68" s="1720" t="s">
        <v>237</v>
      </c>
      <c r="E68" s="1721"/>
      <c r="F68" s="1721"/>
      <c r="G68" s="1722"/>
      <c r="H68" s="1656" t="s">
        <v>238</v>
      </c>
      <c r="I68" s="1690"/>
      <c r="J68" s="1690"/>
      <c r="K68" s="1690"/>
      <c r="L68" s="1669"/>
      <c r="M68" s="270"/>
      <c r="N68" s="1719"/>
      <c r="O68" s="1657"/>
      <c r="P68" s="272"/>
      <c r="Q68" s="1732">
        <f>ROUND(N$8,1)</f>
        <v>0</v>
      </c>
      <c r="R68" s="1732"/>
      <c r="S68" s="285"/>
      <c r="T68" s="243" t="s">
        <v>234</v>
      </c>
      <c r="U68" s="285"/>
      <c r="V68" s="381">
        <f>IF(K$3=1,AE$49,IF(K$3=2,AB$53,AB$56))</f>
        <v>1.4</v>
      </c>
      <c r="W68" s="243" t="s">
        <v>145</v>
      </c>
      <c r="X68" s="382">
        <f>ROUND(V68*Q68,1)</f>
        <v>0</v>
      </c>
      <c r="Y68" s="388"/>
      <c r="Z68" s="1656">
        <f>INT(X68)</f>
        <v>0</v>
      </c>
      <c r="AA68" s="1657"/>
      <c r="AB68" s="1657"/>
      <c r="AC68" s="1657"/>
      <c r="AD68" s="1657"/>
      <c r="AE68" s="244" t="s">
        <v>239</v>
      </c>
      <c r="AF68" s="226"/>
      <c r="AG68" s="292"/>
      <c r="AH68" s="222"/>
      <c r="AI68" s="222"/>
      <c r="AJ68" s="222"/>
      <c r="AK68" s="356"/>
      <c r="AL68" s="221"/>
      <c r="AM68" s="222"/>
      <c r="AN68" s="222"/>
    </row>
    <row r="69" spans="1:40" s="231" customFormat="1" ht="24" customHeight="1" thickBot="1">
      <c r="A69" s="222"/>
      <c r="B69" s="222"/>
      <c r="C69" s="367"/>
      <c r="D69" s="1723"/>
      <c r="E69" s="1724"/>
      <c r="F69" s="1724"/>
      <c r="G69" s="1725"/>
      <c r="H69" s="1728" t="s">
        <v>240</v>
      </c>
      <c r="I69" s="1729"/>
      <c r="J69" s="1729"/>
      <c r="K69" s="1729"/>
      <c r="L69" s="1729"/>
      <c r="M69" s="390"/>
      <c r="N69" s="1731"/>
      <c r="O69" s="1724"/>
      <c r="P69" s="362"/>
      <c r="Q69" s="1730">
        <f>ROUND(N$8,1)</f>
        <v>0</v>
      </c>
      <c r="R69" s="1730"/>
      <c r="S69" s="391"/>
      <c r="T69" s="389" t="s">
        <v>234</v>
      </c>
      <c r="U69" s="391"/>
      <c r="V69" s="392">
        <f>IF(K$3=1,AE$49,IF(K$3=2,AE$53,AE$56))</f>
        <v>13.8</v>
      </c>
      <c r="W69" s="389" t="s">
        <v>145</v>
      </c>
      <c r="X69" s="393">
        <f>ROUND(V69*Q69,1)</f>
        <v>0</v>
      </c>
      <c r="Y69" s="394"/>
      <c r="Z69" s="1726">
        <f>INT(X69)</f>
        <v>0</v>
      </c>
      <c r="AA69" s="1727"/>
      <c r="AB69" s="1727"/>
      <c r="AC69" s="1727"/>
      <c r="AD69" s="1727"/>
      <c r="AE69" s="395" t="s">
        <v>239</v>
      </c>
      <c r="AF69" s="226"/>
      <c r="AG69" s="222"/>
      <c r="AH69" s="222"/>
      <c r="AI69" s="222"/>
      <c r="AJ69" s="222"/>
      <c r="AK69" s="356"/>
      <c r="AL69" s="221"/>
      <c r="AM69" s="222"/>
      <c r="AN69" s="222"/>
    </row>
    <row r="70" spans="1:40" s="231" customFormat="1" ht="15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1"/>
      <c r="S70" s="221"/>
      <c r="T70" s="222"/>
      <c r="U70" s="222"/>
      <c r="V70" s="222"/>
      <c r="W70" s="221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1"/>
      <c r="AJ70" s="222"/>
      <c r="AK70" s="222"/>
      <c r="AL70" s="222"/>
      <c r="AM70" s="222"/>
      <c r="AN70" s="222"/>
    </row>
    <row r="71" s="231" customFormat="1" ht="15"/>
    <row r="72" s="231" customFormat="1" ht="15"/>
    <row r="73" s="231" customFormat="1" ht="15"/>
    <row r="74" s="231" customFormat="1" ht="15"/>
    <row r="75" s="231" customFormat="1" ht="15"/>
    <row r="76" s="231" customFormat="1" ht="15"/>
    <row r="77" s="231" customFormat="1" ht="15"/>
    <row r="78" s="231" customFormat="1" ht="15"/>
  </sheetData>
  <sheetProtection/>
  <mergeCells count="94">
    <mergeCell ref="H59:J59"/>
    <mergeCell ref="Y56:Y61"/>
    <mergeCell ref="R53:S53"/>
    <mergeCell ref="Z68:AD68"/>
    <mergeCell ref="Z67:AD67"/>
    <mergeCell ref="Q66:R66"/>
    <mergeCell ref="Q67:R67"/>
    <mergeCell ref="M64:Y64"/>
    <mergeCell ref="N66:O66"/>
    <mergeCell ref="Z66:AD66"/>
    <mergeCell ref="D68:G69"/>
    <mergeCell ref="Z69:AD69"/>
    <mergeCell ref="H69:L69"/>
    <mergeCell ref="Q69:R69"/>
    <mergeCell ref="N69:O69"/>
    <mergeCell ref="H68:L68"/>
    <mergeCell ref="N68:O68"/>
    <mergeCell ref="Q68:R68"/>
    <mergeCell ref="Z64:AE65"/>
    <mergeCell ref="D66:G66"/>
    <mergeCell ref="D67:G67"/>
    <mergeCell ref="D64:G65"/>
    <mergeCell ref="U65:V65"/>
    <mergeCell ref="H64:L65"/>
    <mergeCell ref="P65:S65"/>
    <mergeCell ref="N67:O67"/>
    <mergeCell ref="C56:C61"/>
    <mergeCell ref="D51:G55"/>
    <mergeCell ref="M49:P49"/>
    <mergeCell ref="H61:J61"/>
    <mergeCell ref="H49:J49"/>
    <mergeCell ref="L47:S47"/>
    <mergeCell ref="H53:J53"/>
    <mergeCell ref="H55:J55"/>
    <mergeCell ref="H56:J56"/>
    <mergeCell ref="H58:J58"/>
    <mergeCell ref="E36:T36"/>
    <mergeCell ref="K51:K52"/>
    <mergeCell ref="R49:S49"/>
    <mergeCell ref="R56:S61"/>
    <mergeCell ref="H60:J60"/>
    <mergeCell ref="H54:J54"/>
    <mergeCell ref="K46:Y46"/>
    <mergeCell ref="U36:AE36"/>
    <mergeCell ref="E41:R41"/>
    <mergeCell ref="D56:G61"/>
    <mergeCell ref="E1:J1"/>
    <mergeCell ref="E4:AD4"/>
    <mergeCell ref="N17:O17"/>
    <mergeCell ref="Q16:R16"/>
    <mergeCell ref="Q17:R17"/>
    <mergeCell ref="E3:J3"/>
    <mergeCell ref="Q15:R15"/>
    <mergeCell ref="N15:O15"/>
    <mergeCell ref="N16:O16"/>
    <mergeCell ref="A1:B1"/>
    <mergeCell ref="C1:D1"/>
    <mergeCell ref="C2:D2"/>
    <mergeCell ref="C3:D3"/>
    <mergeCell ref="I31:J31"/>
    <mergeCell ref="T20:V20"/>
    <mergeCell ref="R24:S24"/>
    <mergeCell ref="R23:S23"/>
    <mergeCell ref="R20:S21"/>
    <mergeCell ref="E2:J2"/>
    <mergeCell ref="AA20:AD20"/>
    <mergeCell ref="AA21:AB21"/>
    <mergeCell ref="AC21:AD21"/>
    <mergeCell ref="E35:AE35"/>
    <mergeCell ref="T21:U21"/>
    <mergeCell ref="R22:S22"/>
    <mergeCell ref="Y21:Z21"/>
    <mergeCell ref="W20:Z20"/>
    <mergeCell ref="W21:X21"/>
    <mergeCell ref="D48:G50"/>
    <mergeCell ref="H48:J48"/>
    <mergeCell ref="H46:J47"/>
    <mergeCell ref="H50:J50"/>
    <mergeCell ref="Z46:AE46"/>
    <mergeCell ref="L51:L52"/>
    <mergeCell ref="AC47:AE47"/>
    <mergeCell ref="AC51:AC52"/>
    <mergeCell ref="T47:Y47"/>
    <mergeCell ref="Z47:AB47"/>
    <mergeCell ref="AB56:AB61"/>
    <mergeCell ref="T51:T52"/>
    <mergeCell ref="AE56:AE61"/>
    <mergeCell ref="AD51:AD55"/>
    <mergeCell ref="Z51:Z52"/>
    <mergeCell ref="H51:J52"/>
    <mergeCell ref="AA51:AA55"/>
    <mergeCell ref="AA56:AA61"/>
    <mergeCell ref="AD56:AD61"/>
    <mergeCell ref="H57:J57"/>
  </mergeCells>
  <printOptions horizontalCentered="1" verticalCentered="1"/>
  <pageMargins left="0.3937007874015748" right="0" top="0.7874015748031497" bottom="0.3937007874015748" header="0" footer="0"/>
  <pageSetup horizontalDpi="300" verticalDpi="300" orientation="portrait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C123"/>
  <sheetViews>
    <sheetView view="pageBreakPreview" zoomScale="70" zoomScaleNormal="60" zoomScaleSheetLayoutView="70" zoomScalePageLayoutView="0" workbookViewId="0" topLeftCell="B1">
      <pane xSplit="1" ySplit="7" topLeftCell="C8" activePane="bottomRight" state="frozen"/>
      <selection pane="topLeft" activeCell="T34" sqref="T34"/>
      <selection pane="topRight" activeCell="T34" sqref="T34"/>
      <selection pane="bottomLeft" activeCell="T34" sqref="T34"/>
      <selection pane="bottomRight" activeCell="S14" sqref="S14"/>
    </sheetView>
  </sheetViews>
  <sheetFormatPr defaultColWidth="10.625" defaultRowHeight="13.5"/>
  <cols>
    <col min="1" max="1" width="3.625" style="585" customWidth="1"/>
    <col min="2" max="2" width="8.625" style="591" customWidth="1"/>
    <col min="3" max="3" width="4.625" style="585" customWidth="1"/>
    <col min="4" max="4" width="2.125" style="585" customWidth="1"/>
    <col min="5" max="5" width="4.625" style="585" customWidth="1"/>
    <col min="6" max="6" width="9.25390625" style="585" bestFit="1" customWidth="1"/>
    <col min="7" max="7" width="2.625" style="585" customWidth="1"/>
    <col min="8" max="8" width="2.00390625" style="585" customWidth="1"/>
    <col min="9" max="9" width="7.625" style="585" customWidth="1"/>
    <col min="10" max="10" width="9.25390625" style="585" bestFit="1" customWidth="1"/>
    <col min="11" max="12" width="8.625" style="585" customWidth="1"/>
    <col min="13" max="14" width="9.625" style="585" customWidth="1"/>
    <col min="15" max="15" width="10.625" style="585" customWidth="1"/>
    <col min="16" max="17" width="9.375" style="585" customWidth="1"/>
    <col min="18" max="19" width="8.125" style="585" bestFit="1" customWidth="1"/>
    <col min="20" max="21" width="10.625" style="585" customWidth="1"/>
    <col min="22" max="22" width="10.125" style="585" bestFit="1" customWidth="1"/>
    <col min="23" max="24" width="10.625" style="585" customWidth="1"/>
    <col min="25" max="25" width="7.625" style="585" customWidth="1"/>
    <col min="26" max="16384" width="10.625" style="585" customWidth="1"/>
  </cols>
  <sheetData>
    <row r="1" spans="1:17" ht="17.25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584"/>
    </row>
    <row r="2" spans="1:24" s="586" customFormat="1" ht="45" customHeight="1">
      <c r="A2" s="18"/>
      <c r="B2" s="19"/>
      <c r="C2" s="1759" t="s">
        <v>415</v>
      </c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1759"/>
    </row>
    <row r="3" spans="1:24" s="23" customFormat="1" ht="24" customHeight="1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2:17" s="23" customFormat="1" ht="24" customHeight="1" thickBot="1">
      <c r="B4" s="127"/>
      <c r="C4" s="127" t="s">
        <v>345</v>
      </c>
      <c r="D4" s="1763" t="str">
        <f>+'表紙１'!D7</f>
        <v>1</v>
      </c>
      <c r="E4" s="1763"/>
      <c r="F4" s="24" t="s">
        <v>416</v>
      </c>
      <c r="G4" s="1756" t="str">
        <f>+'表紙１'!F7</f>
        <v>－</v>
      </c>
      <c r="H4" s="1756"/>
      <c r="I4" s="1756"/>
      <c r="J4" s="24" t="s">
        <v>37</v>
      </c>
      <c r="K4" s="587"/>
      <c r="L4" s="25"/>
      <c r="M4" s="26"/>
      <c r="N4" s="26"/>
      <c r="O4" s="588"/>
      <c r="P4" s="588"/>
      <c r="Q4" s="588"/>
    </row>
    <row r="5" spans="2:25" s="23" customFormat="1" ht="24" customHeight="1">
      <c r="B5" s="27"/>
      <c r="C5" s="1750"/>
      <c r="D5" s="1751"/>
      <c r="E5" s="1758"/>
      <c r="F5" s="30"/>
      <c r="G5" s="1760" t="s">
        <v>105</v>
      </c>
      <c r="H5" s="1761"/>
      <c r="I5" s="1761"/>
      <c r="J5" s="1762"/>
      <c r="K5" s="154" t="s">
        <v>39</v>
      </c>
      <c r="L5" s="1760" t="s">
        <v>106</v>
      </c>
      <c r="M5" s="1761"/>
      <c r="N5" s="1762"/>
      <c r="O5" s="31"/>
      <c r="P5" s="1760" t="s">
        <v>417</v>
      </c>
      <c r="Q5" s="1761"/>
      <c r="R5" s="1761"/>
      <c r="S5" s="1761"/>
      <c r="T5" s="1761"/>
      <c r="U5" s="1761"/>
      <c r="V5" s="1761"/>
      <c r="W5" s="1761"/>
      <c r="X5" s="1762"/>
      <c r="Y5" s="32"/>
    </row>
    <row r="6" spans="2:25" s="23" customFormat="1" ht="24" customHeight="1">
      <c r="B6" s="27" t="s">
        <v>38</v>
      </c>
      <c r="C6" s="1740" t="s">
        <v>7</v>
      </c>
      <c r="D6" s="1741"/>
      <c r="E6" s="1741"/>
      <c r="F6" s="30" t="s">
        <v>1</v>
      </c>
      <c r="G6" s="1764" t="s">
        <v>418</v>
      </c>
      <c r="H6" s="1765"/>
      <c r="I6" s="1766"/>
      <c r="J6" s="30" t="s">
        <v>41</v>
      </c>
      <c r="K6" s="34" t="s">
        <v>42</v>
      </c>
      <c r="L6" s="33" t="s">
        <v>27</v>
      </c>
      <c r="M6" s="30" t="s">
        <v>43</v>
      </c>
      <c r="N6" s="163" t="s">
        <v>419</v>
      </c>
      <c r="O6" s="30" t="s">
        <v>20</v>
      </c>
      <c r="P6" s="30" t="s">
        <v>21</v>
      </c>
      <c r="Q6" s="30" t="s">
        <v>22</v>
      </c>
      <c r="R6" s="30" t="s">
        <v>23</v>
      </c>
      <c r="S6" s="30" t="s">
        <v>24</v>
      </c>
      <c r="T6" s="153" t="s">
        <v>25</v>
      </c>
      <c r="U6" s="1764" t="s">
        <v>420</v>
      </c>
      <c r="V6" s="1765"/>
      <c r="W6" s="1765"/>
      <c r="X6" s="1766"/>
      <c r="Y6" s="35" t="s">
        <v>580</v>
      </c>
    </row>
    <row r="7" spans="2:25" s="23" customFormat="1" ht="24" customHeight="1" thickBot="1">
      <c r="B7" s="36"/>
      <c r="C7" s="37"/>
      <c r="D7" s="24"/>
      <c r="E7" s="24"/>
      <c r="F7" s="37" t="s">
        <v>40</v>
      </c>
      <c r="G7" s="1755" t="s">
        <v>421</v>
      </c>
      <c r="H7" s="1756"/>
      <c r="I7" s="1757"/>
      <c r="J7" s="38"/>
      <c r="K7" s="39"/>
      <c r="L7" s="40"/>
      <c r="M7" s="41"/>
      <c r="N7" s="39"/>
      <c r="O7" s="37" t="s">
        <v>28</v>
      </c>
      <c r="P7" s="37" t="s">
        <v>29</v>
      </c>
      <c r="Q7" s="37" t="s">
        <v>30</v>
      </c>
      <c r="R7" s="38"/>
      <c r="S7" s="38"/>
      <c r="T7" s="37" t="s">
        <v>31</v>
      </c>
      <c r="U7" s="42" t="s">
        <v>32</v>
      </c>
      <c r="V7" s="42" t="s">
        <v>33</v>
      </c>
      <c r="W7" s="42" t="s">
        <v>34</v>
      </c>
      <c r="X7" s="43" t="s">
        <v>4</v>
      </c>
      <c r="Y7" s="44"/>
    </row>
    <row r="8" spans="2:25" s="23" customFormat="1" ht="24" customHeight="1">
      <c r="B8" s="45"/>
      <c r="C8" s="398"/>
      <c r="D8" s="29"/>
      <c r="E8" s="29"/>
      <c r="F8" s="46" t="s">
        <v>45</v>
      </c>
      <c r="G8" s="31"/>
      <c r="H8" s="47"/>
      <c r="I8" s="47"/>
      <c r="J8" s="31"/>
      <c r="K8" s="48" t="s">
        <v>46</v>
      </c>
      <c r="L8" s="49" t="s">
        <v>45</v>
      </c>
      <c r="M8" s="46" t="s">
        <v>45</v>
      </c>
      <c r="N8" s="48" t="s">
        <v>45</v>
      </c>
      <c r="O8" s="50" t="s">
        <v>35</v>
      </c>
      <c r="P8" s="50" t="s">
        <v>14</v>
      </c>
      <c r="Q8" s="50" t="s">
        <v>14</v>
      </c>
      <c r="R8" s="50" t="s">
        <v>13</v>
      </c>
      <c r="S8" s="50" t="s">
        <v>13</v>
      </c>
      <c r="T8" s="51"/>
      <c r="U8" s="50" t="s">
        <v>14</v>
      </c>
      <c r="V8" s="50" t="s">
        <v>14</v>
      </c>
      <c r="W8" s="50" t="s">
        <v>14</v>
      </c>
      <c r="X8" s="50" t="s">
        <v>14</v>
      </c>
      <c r="Y8" s="52"/>
    </row>
    <row r="9" spans="2:25" s="197" customFormat="1" ht="24" customHeight="1">
      <c r="B9" s="194"/>
      <c r="C9" s="524"/>
      <c r="D9" s="195"/>
      <c r="E9" s="195"/>
      <c r="F9" s="196"/>
      <c r="G9" s="1744"/>
      <c r="H9" s="1745"/>
      <c r="I9" s="1746"/>
      <c r="J9" s="200"/>
      <c r="K9" s="589"/>
      <c r="L9" s="201"/>
      <c r="M9" s="198"/>
      <c r="N9" s="198"/>
      <c r="O9" s="196"/>
      <c r="P9" s="758"/>
      <c r="Q9" s="196"/>
      <c r="R9" s="198"/>
      <c r="S9" s="198"/>
      <c r="T9" s="200"/>
      <c r="U9" s="198"/>
      <c r="V9" s="198"/>
      <c r="W9" s="198"/>
      <c r="X9" s="198"/>
      <c r="Y9" s="199"/>
    </row>
    <row r="10" spans="2:29" s="197" customFormat="1" ht="24" customHeight="1">
      <c r="B10" s="194"/>
      <c r="C10" s="524"/>
      <c r="D10" s="195"/>
      <c r="E10" s="757"/>
      <c r="F10" s="196"/>
      <c r="G10" s="1747"/>
      <c r="H10" s="1748"/>
      <c r="I10" s="1749"/>
      <c r="J10" s="200"/>
      <c r="K10" s="589"/>
      <c r="L10" s="201"/>
      <c r="M10" s="198"/>
      <c r="N10" s="198"/>
      <c r="O10" s="196"/>
      <c r="P10" s="758"/>
      <c r="Q10" s="196"/>
      <c r="R10" s="198"/>
      <c r="S10" s="198"/>
      <c r="T10" s="200"/>
      <c r="U10" s="198"/>
      <c r="V10" s="198"/>
      <c r="W10" s="198"/>
      <c r="X10" s="198"/>
      <c r="Y10" s="199"/>
      <c r="AC10" s="197" t="s">
        <v>488</v>
      </c>
    </row>
    <row r="11" spans="2:25" s="197" customFormat="1" ht="24" customHeight="1">
      <c r="B11" s="194"/>
      <c r="C11" s="397"/>
      <c r="D11" s="195"/>
      <c r="E11" s="757"/>
      <c r="F11" s="196"/>
      <c r="G11" s="1747"/>
      <c r="H11" s="1748"/>
      <c r="I11" s="1749"/>
      <c r="J11" s="200"/>
      <c r="K11" s="589"/>
      <c r="L11" s="201"/>
      <c r="M11" s="198"/>
      <c r="N11" s="198"/>
      <c r="O11" s="196"/>
      <c r="P11" s="758"/>
      <c r="Q11" s="196"/>
      <c r="R11" s="198"/>
      <c r="S11" s="198"/>
      <c r="T11" s="200"/>
      <c r="U11" s="198"/>
      <c r="V11" s="198"/>
      <c r="W11" s="198"/>
      <c r="X11" s="198"/>
      <c r="Y11" s="199"/>
    </row>
    <row r="12" spans="2:25" s="197" customFormat="1" ht="24" customHeight="1">
      <c r="B12" s="194"/>
      <c r="C12" s="397"/>
      <c r="D12" s="195"/>
      <c r="E12" s="195"/>
      <c r="F12" s="196"/>
      <c r="G12" s="1747"/>
      <c r="H12" s="1748"/>
      <c r="I12" s="1749"/>
      <c r="J12" s="200"/>
      <c r="K12" s="589"/>
      <c r="L12" s="201"/>
      <c r="M12" s="198"/>
      <c r="N12" s="198"/>
      <c r="O12" s="196"/>
      <c r="P12" s="758"/>
      <c r="Q12" s="196"/>
      <c r="R12" s="198"/>
      <c r="S12" s="198"/>
      <c r="T12" s="200"/>
      <c r="U12" s="198"/>
      <c r="V12" s="198"/>
      <c r="W12" s="198"/>
      <c r="X12" s="198"/>
      <c r="Y12" s="199"/>
    </row>
    <row r="13" spans="2:25" s="197" customFormat="1" ht="24" customHeight="1">
      <c r="B13" s="194"/>
      <c r="C13" s="397"/>
      <c r="D13" s="195"/>
      <c r="E13" s="195"/>
      <c r="F13" s="196"/>
      <c r="G13" s="1747"/>
      <c r="H13" s="1748"/>
      <c r="I13" s="1749"/>
      <c r="J13" s="200"/>
      <c r="K13" s="589"/>
      <c r="L13" s="201"/>
      <c r="M13" s="198"/>
      <c r="N13" s="198"/>
      <c r="O13" s="196"/>
      <c r="P13" s="758"/>
      <c r="Q13" s="196"/>
      <c r="R13" s="198"/>
      <c r="S13" s="198"/>
      <c r="T13" s="200"/>
      <c r="U13" s="198"/>
      <c r="V13" s="198"/>
      <c r="W13" s="198"/>
      <c r="X13" s="198"/>
      <c r="Y13" s="199"/>
    </row>
    <row r="14" spans="2:25" s="197" customFormat="1" ht="24" customHeight="1">
      <c r="B14" s="194"/>
      <c r="C14" s="397"/>
      <c r="D14" s="195"/>
      <c r="E14" s="195"/>
      <c r="F14" s="196"/>
      <c r="G14" s="1747"/>
      <c r="H14" s="1748"/>
      <c r="I14" s="1749"/>
      <c r="J14" s="200"/>
      <c r="K14" s="589"/>
      <c r="L14" s="201"/>
      <c r="M14" s="198"/>
      <c r="N14" s="198"/>
      <c r="O14" s="196"/>
      <c r="P14" s="758"/>
      <c r="Q14" s="196"/>
      <c r="R14" s="198"/>
      <c r="S14" s="198"/>
      <c r="T14" s="200"/>
      <c r="U14" s="198"/>
      <c r="V14" s="198"/>
      <c r="W14" s="198"/>
      <c r="X14" s="198"/>
      <c r="Y14" s="199"/>
    </row>
    <row r="15" spans="2:25" s="197" customFormat="1" ht="24" customHeight="1">
      <c r="B15" s="194"/>
      <c r="C15" s="397"/>
      <c r="D15" s="195"/>
      <c r="E15" s="195"/>
      <c r="F15" s="196"/>
      <c r="G15" s="1747"/>
      <c r="H15" s="1748"/>
      <c r="I15" s="1749"/>
      <c r="J15" s="200"/>
      <c r="K15" s="589"/>
      <c r="L15" s="201"/>
      <c r="M15" s="198"/>
      <c r="N15" s="198"/>
      <c r="O15" s="196"/>
      <c r="P15" s="758"/>
      <c r="Q15" s="196"/>
      <c r="R15" s="198"/>
      <c r="S15" s="198"/>
      <c r="T15" s="200"/>
      <c r="U15" s="198"/>
      <c r="V15" s="198"/>
      <c r="W15" s="198"/>
      <c r="X15" s="198"/>
      <c r="Y15" s="199"/>
    </row>
    <row r="16" spans="2:25" s="197" customFormat="1" ht="24" customHeight="1">
      <c r="B16" s="194"/>
      <c r="C16" s="397"/>
      <c r="D16" s="583"/>
      <c r="E16" s="195"/>
      <c r="F16" s="196"/>
      <c r="G16" s="1747"/>
      <c r="H16" s="1748"/>
      <c r="I16" s="1749"/>
      <c r="J16" s="200"/>
      <c r="K16" s="589"/>
      <c r="L16" s="201"/>
      <c r="M16" s="198"/>
      <c r="N16" s="198"/>
      <c r="O16" s="196"/>
      <c r="P16" s="198"/>
      <c r="Q16" s="196"/>
      <c r="R16" s="198"/>
      <c r="S16" s="198"/>
      <c r="T16" s="200"/>
      <c r="U16" s="198"/>
      <c r="V16" s="198"/>
      <c r="W16" s="198"/>
      <c r="X16" s="198"/>
      <c r="Y16" s="199"/>
    </row>
    <row r="17" spans="2:25" s="197" customFormat="1" ht="24" customHeight="1">
      <c r="B17" s="194"/>
      <c r="C17" s="397"/>
      <c r="D17" s="583"/>
      <c r="E17" s="195"/>
      <c r="F17" s="196"/>
      <c r="G17" s="1747"/>
      <c r="H17" s="1748"/>
      <c r="I17" s="1749"/>
      <c r="J17" s="200"/>
      <c r="K17" s="589"/>
      <c r="L17" s="201"/>
      <c r="M17" s="198"/>
      <c r="N17" s="198"/>
      <c r="O17" s="196"/>
      <c r="P17" s="198"/>
      <c r="Q17" s="196"/>
      <c r="R17" s="198"/>
      <c r="S17" s="198"/>
      <c r="T17" s="200"/>
      <c r="U17" s="198"/>
      <c r="V17" s="198"/>
      <c r="W17" s="198"/>
      <c r="X17" s="198"/>
      <c r="Y17" s="199"/>
    </row>
    <row r="18" spans="2:25" s="197" customFormat="1" ht="24" customHeight="1">
      <c r="B18" s="194"/>
      <c r="C18" s="397"/>
      <c r="D18" s="583"/>
      <c r="E18" s="195"/>
      <c r="F18" s="196"/>
      <c r="G18" s="1747"/>
      <c r="H18" s="1748"/>
      <c r="I18" s="1749"/>
      <c r="J18" s="200"/>
      <c r="K18" s="589"/>
      <c r="L18" s="201"/>
      <c r="M18" s="198"/>
      <c r="N18" s="198"/>
      <c r="O18" s="196"/>
      <c r="P18" s="198"/>
      <c r="Q18" s="196"/>
      <c r="R18" s="198"/>
      <c r="S18" s="198"/>
      <c r="T18" s="200"/>
      <c r="U18" s="198"/>
      <c r="V18" s="198"/>
      <c r="W18" s="198"/>
      <c r="X18" s="198"/>
      <c r="Y18" s="199"/>
    </row>
    <row r="19" spans="2:25" s="197" customFormat="1" ht="24" customHeight="1">
      <c r="B19" s="194"/>
      <c r="C19" s="397"/>
      <c r="D19" s="583"/>
      <c r="E19" s="195"/>
      <c r="F19" s="196"/>
      <c r="G19" s="1747"/>
      <c r="H19" s="1748"/>
      <c r="I19" s="1749"/>
      <c r="J19" s="200"/>
      <c r="K19" s="589"/>
      <c r="L19" s="201"/>
      <c r="M19" s="198"/>
      <c r="N19" s="198"/>
      <c r="O19" s="196"/>
      <c r="P19" s="198"/>
      <c r="Q19" s="196"/>
      <c r="R19" s="198"/>
      <c r="S19" s="198"/>
      <c r="T19" s="200"/>
      <c r="U19" s="198"/>
      <c r="V19" s="198"/>
      <c r="W19" s="198"/>
      <c r="X19" s="198"/>
      <c r="Y19" s="199"/>
    </row>
    <row r="20" spans="2:25" s="197" customFormat="1" ht="24" customHeight="1">
      <c r="B20" s="194"/>
      <c r="C20" s="397"/>
      <c r="D20" s="583"/>
      <c r="E20" s="195"/>
      <c r="F20" s="196"/>
      <c r="G20" s="1747"/>
      <c r="H20" s="1748"/>
      <c r="I20" s="1749"/>
      <c r="J20" s="200"/>
      <c r="K20" s="589"/>
      <c r="L20" s="201"/>
      <c r="M20" s="198"/>
      <c r="N20" s="198"/>
      <c r="O20" s="196"/>
      <c r="P20" s="198"/>
      <c r="Q20" s="196"/>
      <c r="R20" s="198"/>
      <c r="S20" s="198"/>
      <c r="T20" s="200"/>
      <c r="U20" s="198"/>
      <c r="V20" s="198"/>
      <c r="W20" s="198"/>
      <c r="X20" s="198"/>
      <c r="Y20" s="199"/>
    </row>
    <row r="21" spans="2:25" s="197" customFormat="1" ht="24" customHeight="1">
      <c r="B21" s="194"/>
      <c r="C21" s="397"/>
      <c r="D21" s="583"/>
      <c r="E21" s="195"/>
      <c r="F21" s="196"/>
      <c r="G21" s="1747"/>
      <c r="H21" s="1748"/>
      <c r="I21" s="1749"/>
      <c r="J21" s="200"/>
      <c r="K21" s="589"/>
      <c r="L21" s="201"/>
      <c r="M21" s="198"/>
      <c r="N21" s="198"/>
      <c r="O21" s="196"/>
      <c r="P21" s="198"/>
      <c r="Q21" s="196"/>
      <c r="R21" s="198"/>
      <c r="S21" s="198"/>
      <c r="T21" s="200"/>
      <c r="U21" s="198"/>
      <c r="V21" s="198"/>
      <c r="W21" s="198"/>
      <c r="X21" s="198"/>
      <c r="Y21" s="199"/>
    </row>
    <row r="22" spans="2:25" s="197" customFormat="1" ht="24" customHeight="1">
      <c r="B22" s="194"/>
      <c r="C22" s="397"/>
      <c r="D22" s="583"/>
      <c r="E22" s="195"/>
      <c r="F22" s="196"/>
      <c r="G22" s="1747"/>
      <c r="H22" s="1748"/>
      <c r="I22" s="1749"/>
      <c r="J22" s="200"/>
      <c r="K22" s="589"/>
      <c r="L22" s="201"/>
      <c r="M22" s="198"/>
      <c r="N22" s="198"/>
      <c r="O22" s="196"/>
      <c r="P22" s="198"/>
      <c r="Q22" s="196"/>
      <c r="R22" s="198"/>
      <c r="S22" s="198"/>
      <c r="T22" s="200"/>
      <c r="U22" s="198"/>
      <c r="V22" s="198"/>
      <c r="W22" s="198"/>
      <c r="X22" s="198"/>
      <c r="Y22" s="199"/>
    </row>
    <row r="23" spans="2:25" s="197" customFormat="1" ht="24" customHeight="1">
      <c r="B23" s="194"/>
      <c r="C23" s="397"/>
      <c r="D23" s="583"/>
      <c r="E23" s="195"/>
      <c r="F23" s="196"/>
      <c r="G23" s="1747"/>
      <c r="H23" s="1748"/>
      <c r="I23" s="1749"/>
      <c r="J23" s="200"/>
      <c r="K23" s="589"/>
      <c r="L23" s="201"/>
      <c r="M23" s="198"/>
      <c r="N23" s="198"/>
      <c r="O23" s="196"/>
      <c r="P23" s="198"/>
      <c r="Q23" s="196"/>
      <c r="R23" s="198"/>
      <c r="S23" s="198"/>
      <c r="T23" s="200"/>
      <c r="U23" s="198"/>
      <c r="V23" s="198"/>
      <c r="W23" s="198"/>
      <c r="X23" s="198"/>
      <c r="Y23" s="199"/>
    </row>
    <row r="24" spans="2:25" s="197" customFormat="1" ht="24" customHeight="1">
      <c r="B24" s="194"/>
      <c r="C24" s="397"/>
      <c r="D24" s="583"/>
      <c r="E24" s="195"/>
      <c r="F24" s="196"/>
      <c r="G24" s="1747"/>
      <c r="H24" s="1748"/>
      <c r="I24" s="1749"/>
      <c r="J24" s="200"/>
      <c r="K24" s="589"/>
      <c r="L24" s="201"/>
      <c r="M24" s="198"/>
      <c r="N24" s="198"/>
      <c r="O24" s="196"/>
      <c r="P24" s="198"/>
      <c r="Q24" s="196"/>
      <c r="R24" s="198"/>
      <c r="S24" s="198"/>
      <c r="T24" s="200"/>
      <c r="U24" s="198"/>
      <c r="V24" s="198"/>
      <c r="W24" s="198"/>
      <c r="X24" s="198"/>
      <c r="Y24" s="199"/>
    </row>
    <row r="25" spans="2:25" s="197" customFormat="1" ht="24" customHeight="1">
      <c r="B25" s="194"/>
      <c r="C25" s="397"/>
      <c r="D25" s="583"/>
      <c r="E25" s="195"/>
      <c r="F25" s="196"/>
      <c r="G25" s="1747"/>
      <c r="H25" s="1748"/>
      <c r="I25" s="1749"/>
      <c r="J25" s="200"/>
      <c r="K25" s="589"/>
      <c r="L25" s="201"/>
      <c r="M25" s="198"/>
      <c r="N25" s="198"/>
      <c r="O25" s="196"/>
      <c r="P25" s="198"/>
      <c r="Q25" s="196"/>
      <c r="R25" s="198"/>
      <c r="S25" s="198"/>
      <c r="T25" s="200"/>
      <c r="U25" s="198"/>
      <c r="V25" s="198"/>
      <c r="W25" s="198"/>
      <c r="X25" s="198"/>
      <c r="Y25" s="199"/>
    </row>
    <row r="26" spans="2:25" s="197" customFormat="1" ht="24" customHeight="1">
      <c r="B26" s="194"/>
      <c r="C26" s="397"/>
      <c r="D26" s="583"/>
      <c r="E26" s="195"/>
      <c r="F26" s="196"/>
      <c r="G26" s="1747"/>
      <c r="H26" s="1748"/>
      <c r="I26" s="1749"/>
      <c r="J26" s="200"/>
      <c r="K26" s="589"/>
      <c r="L26" s="201"/>
      <c r="M26" s="198"/>
      <c r="N26" s="198"/>
      <c r="O26" s="196"/>
      <c r="P26" s="198"/>
      <c r="Q26" s="196"/>
      <c r="R26" s="198"/>
      <c r="S26" s="198"/>
      <c r="T26" s="200"/>
      <c r="U26" s="198"/>
      <c r="V26" s="198"/>
      <c r="W26" s="198"/>
      <c r="X26" s="198"/>
      <c r="Y26" s="199"/>
    </row>
    <row r="27" spans="2:25" s="197" customFormat="1" ht="24" customHeight="1">
      <c r="B27" s="194"/>
      <c r="C27" s="397"/>
      <c r="D27" s="583"/>
      <c r="E27" s="195"/>
      <c r="F27" s="196"/>
      <c r="G27" s="1747"/>
      <c r="H27" s="1748"/>
      <c r="I27" s="1749"/>
      <c r="J27" s="200"/>
      <c r="K27" s="589"/>
      <c r="L27" s="201"/>
      <c r="M27" s="198"/>
      <c r="N27" s="198"/>
      <c r="O27" s="196"/>
      <c r="P27" s="198"/>
      <c r="Q27" s="196"/>
      <c r="R27" s="198"/>
      <c r="S27" s="198"/>
      <c r="T27" s="200"/>
      <c r="U27" s="198"/>
      <c r="V27" s="198"/>
      <c r="W27" s="198"/>
      <c r="X27" s="198"/>
      <c r="Y27" s="199"/>
    </row>
    <row r="28" spans="2:25" s="197" customFormat="1" ht="24" customHeight="1">
      <c r="B28" s="194"/>
      <c r="C28" s="397"/>
      <c r="D28" s="583"/>
      <c r="E28" s="195"/>
      <c r="F28" s="196"/>
      <c r="G28" s="1747"/>
      <c r="H28" s="1748"/>
      <c r="I28" s="1749"/>
      <c r="J28" s="200"/>
      <c r="K28" s="589"/>
      <c r="L28" s="201"/>
      <c r="M28" s="198"/>
      <c r="N28" s="198"/>
      <c r="O28" s="196"/>
      <c r="P28" s="198"/>
      <c r="Q28" s="196"/>
      <c r="R28" s="198"/>
      <c r="S28" s="198"/>
      <c r="T28" s="200"/>
      <c r="U28" s="198"/>
      <c r="V28" s="198"/>
      <c r="W28" s="198"/>
      <c r="X28" s="198"/>
      <c r="Y28" s="199"/>
    </row>
    <row r="29" spans="2:25" s="197" customFormat="1" ht="24" customHeight="1">
      <c r="B29" s="194"/>
      <c r="C29" s="397"/>
      <c r="D29" s="583"/>
      <c r="E29" s="195"/>
      <c r="F29" s="196"/>
      <c r="G29" s="1747"/>
      <c r="H29" s="1748"/>
      <c r="I29" s="1749"/>
      <c r="J29" s="200"/>
      <c r="K29" s="589"/>
      <c r="L29" s="201"/>
      <c r="M29" s="198"/>
      <c r="N29" s="198"/>
      <c r="O29" s="196"/>
      <c r="P29" s="198"/>
      <c r="Q29" s="196"/>
      <c r="R29" s="198"/>
      <c r="S29" s="198"/>
      <c r="T29" s="200"/>
      <c r="U29" s="198"/>
      <c r="V29" s="198"/>
      <c r="W29" s="198"/>
      <c r="X29" s="198"/>
      <c r="Y29" s="199"/>
    </row>
    <row r="30" spans="2:25" s="197" customFormat="1" ht="24" customHeight="1">
      <c r="B30" s="194"/>
      <c r="C30" s="397"/>
      <c r="D30" s="583"/>
      <c r="E30" s="195"/>
      <c r="F30" s="196"/>
      <c r="G30" s="1747"/>
      <c r="H30" s="1748"/>
      <c r="I30" s="1749"/>
      <c r="J30" s="200"/>
      <c r="K30" s="589"/>
      <c r="L30" s="201"/>
      <c r="M30" s="198"/>
      <c r="N30" s="198"/>
      <c r="O30" s="196"/>
      <c r="P30" s="198"/>
      <c r="Q30" s="196"/>
      <c r="R30" s="198"/>
      <c r="S30" s="198"/>
      <c r="T30" s="200"/>
      <c r="U30" s="198"/>
      <c r="V30" s="198"/>
      <c r="W30" s="198"/>
      <c r="X30" s="198"/>
      <c r="Y30" s="199"/>
    </row>
    <row r="31" spans="2:25" s="197" customFormat="1" ht="24" customHeight="1">
      <c r="B31" s="194"/>
      <c r="C31" s="397"/>
      <c r="D31" s="583"/>
      <c r="E31" s="195"/>
      <c r="F31" s="196"/>
      <c r="G31" s="1747"/>
      <c r="H31" s="1748"/>
      <c r="I31" s="1749"/>
      <c r="J31" s="200"/>
      <c r="K31" s="589"/>
      <c r="L31" s="201"/>
      <c r="M31" s="198"/>
      <c r="N31" s="198"/>
      <c r="O31" s="196"/>
      <c r="P31" s="198"/>
      <c r="Q31" s="196"/>
      <c r="R31" s="198"/>
      <c r="S31" s="198"/>
      <c r="T31" s="200"/>
      <c r="U31" s="198"/>
      <c r="V31" s="198"/>
      <c r="W31" s="198"/>
      <c r="X31" s="198"/>
      <c r="Y31" s="199"/>
    </row>
    <row r="32" spans="2:25" s="197" customFormat="1" ht="24" customHeight="1">
      <c r="B32" s="194"/>
      <c r="C32" s="397"/>
      <c r="D32" s="583"/>
      <c r="E32" s="195"/>
      <c r="F32" s="196"/>
      <c r="G32" s="1747"/>
      <c r="H32" s="1748"/>
      <c r="I32" s="1749"/>
      <c r="J32" s="200"/>
      <c r="K32" s="589"/>
      <c r="L32" s="201"/>
      <c r="M32" s="198"/>
      <c r="N32" s="198"/>
      <c r="O32" s="196"/>
      <c r="P32" s="198"/>
      <c r="Q32" s="196"/>
      <c r="R32" s="198"/>
      <c r="S32" s="198"/>
      <c r="T32" s="200"/>
      <c r="U32" s="198"/>
      <c r="V32" s="198"/>
      <c r="W32" s="198"/>
      <c r="X32" s="198"/>
      <c r="Y32" s="199"/>
    </row>
    <row r="33" spans="2:25" s="197" customFormat="1" ht="24" customHeight="1">
      <c r="B33" s="194"/>
      <c r="C33" s="397"/>
      <c r="D33" s="583"/>
      <c r="E33" s="195"/>
      <c r="F33" s="196"/>
      <c r="G33" s="1747"/>
      <c r="H33" s="1748"/>
      <c r="I33" s="1749"/>
      <c r="J33" s="200"/>
      <c r="K33" s="589"/>
      <c r="L33" s="201"/>
      <c r="M33" s="198"/>
      <c r="N33" s="198"/>
      <c r="O33" s="196"/>
      <c r="P33" s="198"/>
      <c r="Q33" s="196"/>
      <c r="R33" s="198"/>
      <c r="S33" s="198"/>
      <c r="T33" s="200"/>
      <c r="U33" s="198"/>
      <c r="V33" s="198"/>
      <c r="W33" s="198"/>
      <c r="X33" s="198"/>
      <c r="Y33" s="199"/>
    </row>
    <row r="34" spans="2:25" s="197" customFormat="1" ht="24" customHeight="1">
      <c r="B34" s="194"/>
      <c r="C34" s="397"/>
      <c r="D34" s="583"/>
      <c r="E34" s="195"/>
      <c r="F34" s="196"/>
      <c r="G34" s="1747"/>
      <c r="H34" s="1748"/>
      <c r="I34" s="1749"/>
      <c r="J34" s="200"/>
      <c r="K34" s="589"/>
      <c r="L34" s="201"/>
      <c r="M34" s="198"/>
      <c r="N34" s="198"/>
      <c r="O34" s="196"/>
      <c r="P34" s="198"/>
      <c r="Q34" s="196"/>
      <c r="R34" s="198"/>
      <c r="S34" s="198"/>
      <c r="T34" s="200"/>
      <c r="U34" s="198"/>
      <c r="V34" s="198"/>
      <c r="W34" s="198"/>
      <c r="X34" s="198"/>
      <c r="Y34" s="199"/>
    </row>
    <row r="35" spans="2:25" s="197" customFormat="1" ht="24" customHeight="1">
      <c r="B35" s="194"/>
      <c r="C35" s="397"/>
      <c r="D35" s="583"/>
      <c r="E35" s="195"/>
      <c r="F35" s="196"/>
      <c r="G35" s="196"/>
      <c r="H35" s="583"/>
      <c r="I35" s="590"/>
      <c r="J35" s="200"/>
      <c r="K35" s="589"/>
      <c r="L35" s="201"/>
      <c r="M35" s="198"/>
      <c r="N35" s="198"/>
      <c r="O35" s="196"/>
      <c r="P35" s="198"/>
      <c r="Q35" s="196"/>
      <c r="R35" s="198"/>
      <c r="S35" s="198"/>
      <c r="T35" s="200"/>
      <c r="U35" s="198"/>
      <c r="V35" s="198"/>
      <c r="W35" s="198"/>
      <c r="X35" s="198"/>
      <c r="Y35" s="199"/>
    </row>
    <row r="36" spans="2:25" s="197" customFormat="1" ht="24" customHeight="1">
      <c r="B36" s="194"/>
      <c r="C36" s="397"/>
      <c r="D36" s="583"/>
      <c r="E36" s="195"/>
      <c r="F36" s="196"/>
      <c r="G36" s="196"/>
      <c r="H36" s="583"/>
      <c r="I36" s="590"/>
      <c r="J36" s="200"/>
      <c r="K36" s="589"/>
      <c r="L36" s="201"/>
      <c r="M36" s="198"/>
      <c r="N36" s="198"/>
      <c r="O36" s="196"/>
      <c r="P36" s="198"/>
      <c r="Q36" s="196"/>
      <c r="R36" s="198"/>
      <c r="S36" s="198"/>
      <c r="T36" s="200"/>
      <c r="U36" s="198"/>
      <c r="V36" s="198"/>
      <c r="W36" s="198"/>
      <c r="X36" s="198"/>
      <c r="Y36" s="199"/>
    </row>
    <row r="37" spans="2:25" s="197" customFormat="1" ht="24" customHeight="1">
      <c r="B37" s="194"/>
      <c r="C37" s="397"/>
      <c r="D37" s="583"/>
      <c r="E37" s="195"/>
      <c r="F37" s="196"/>
      <c r="G37" s="196"/>
      <c r="H37" s="583"/>
      <c r="I37" s="590"/>
      <c r="J37" s="200"/>
      <c r="K37" s="589"/>
      <c r="L37" s="201"/>
      <c r="M37" s="198"/>
      <c r="N37" s="198"/>
      <c r="O37" s="196"/>
      <c r="P37" s="198"/>
      <c r="Q37" s="196"/>
      <c r="R37" s="198"/>
      <c r="S37" s="198"/>
      <c r="T37" s="200"/>
      <c r="U37" s="198"/>
      <c r="V37" s="198"/>
      <c r="W37" s="198"/>
      <c r="X37" s="198"/>
      <c r="Y37" s="199"/>
    </row>
    <row r="38" spans="2:25" s="197" customFormat="1" ht="24" customHeight="1">
      <c r="B38" s="194"/>
      <c r="C38" s="397"/>
      <c r="D38" s="583"/>
      <c r="E38" s="195"/>
      <c r="F38" s="196"/>
      <c r="G38" s="196"/>
      <c r="H38" s="583"/>
      <c r="I38" s="590"/>
      <c r="J38" s="200"/>
      <c r="K38" s="589"/>
      <c r="L38" s="201"/>
      <c r="M38" s="198"/>
      <c r="N38" s="198"/>
      <c r="O38" s="196"/>
      <c r="P38" s="198"/>
      <c r="Q38" s="196"/>
      <c r="R38" s="198"/>
      <c r="S38" s="198"/>
      <c r="T38" s="200"/>
      <c r="U38" s="198"/>
      <c r="V38" s="198"/>
      <c r="W38" s="198"/>
      <c r="X38" s="198"/>
      <c r="Y38" s="199"/>
    </row>
    <row r="39" spans="2:25" s="197" customFormat="1" ht="24" customHeight="1">
      <c r="B39" s="194"/>
      <c r="C39" s="397"/>
      <c r="D39" s="583"/>
      <c r="E39" s="195"/>
      <c r="F39" s="196"/>
      <c r="G39" s="196"/>
      <c r="H39" s="583"/>
      <c r="I39" s="590"/>
      <c r="J39" s="200"/>
      <c r="K39" s="589"/>
      <c r="L39" s="201"/>
      <c r="M39" s="198"/>
      <c r="N39" s="198"/>
      <c r="O39" s="196"/>
      <c r="P39" s="198"/>
      <c r="Q39" s="196"/>
      <c r="R39" s="198"/>
      <c r="S39" s="198"/>
      <c r="T39" s="200"/>
      <c r="U39" s="198"/>
      <c r="V39" s="198"/>
      <c r="W39" s="198"/>
      <c r="X39" s="198"/>
      <c r="Y39" s="199"/>
    </row>
    <row r="40" spans="2:25" s="197" customFormat="1" ht="24" customHeight="1">
      <c r="B40" s="194"/>
      <c r="C40" s="397"/>
      <c r="D40" s="583"/>
      <c r="E40" s="195"/>
      <c r="F40" s="196"/>
      <c r="G40" s="196"/>
      <c r="H40" s="583"/>
      <c r="I40" s="590"/>
      <c r="J40" s="200"/>
      <c r="K40" s="589"/>
      <c r="L40" s="201"/>
      <c r="M40" s="198"/>
      <c r="N40" s="198"/>
      <c r="O40" s="196"/>
      <c r="P40" s="198"/>
      <c r="Q40" s="196"/>
      <c r="R40" s="198"/>
      <c r="S40" s="198"/>
      <c r="T40" s="200"/>
      <c r="U40" s="198"/>
      <c r="V40" s="198"/>
      <c r="W40" s="198"/>
      <c r="X40" s="198"/>
      <c r="Y40" s="199"/>
    </row>
    <row r="41" spans="2:25" s="197" customFormat="1" ht="24" customHeight="1">
      <c r="B41" s="194"/>
      <c r="C41" s="397"/>
      <c r="D41" s="583"/>
      <c r="E41" s="195"/>
      <c r="F41" s="196"/>
      <c r="G41" s="196"/>
      <c r="H41" s="583"/>
      <c r="I41" s="590"/>
      <c r="J41" s="200"/>
      <c r="K41" s="589"/>
      <c r="L41" s="201"/>
      <c r="M41" s="198"/>
      <c r="N41" s="198"/>
      <c r="O41" s="196"/>
      <c r="P41" s="198"/>
      <c r="Q41" s="196"/>
      <c r="R41" s="198"/>
      <c r="S41" s="198"/>
      <c r="T41" s="200"/>
      <c r="U41" s="198"/>
      <c r="V41" s="198"/>
      <c r="W41" s="198"/>
      <c r="X41" s="198"/>
      <c r="Y41" s="199"/>
    </row>
    <row r="42" spans="2:25" s="197" customFormat="1" ht="24" customHeight="1">
      <c r="B42" s="194"/>
      <c r="C42" s="397"/>
      <c r="D42" s="583"/>
      <c r="E42" s="195"/>
      <c r="F42" s="196"/>
      <c r="G42" s="196"/>
      <c r="H42" s="583"/>
      <c r="I42" s="590"/>
      <c r="J42" s="200"/>
      <c r="K42" s="589"/>
      <c r="L42" s="201"/>
      <c r="M42" s="198"/>
      <c r="N42" s="198"/>
      <c r="O42" s="196"/>
      <c r="P42" s="198"/>
      <c r="Q42" s="196"/>
      <c r="R42" s="198"/>
      <c r="S42" s="198"/>
      <c r="T42" s="200"/>
      <c r="U42" s="198"/>
      <c r="V42" s="198"/>
      <c r="W42" s="198"/>
      <c r="X42" s="198"/>
      <c r="Y42" s="199"/>
    </row>
    <row r="43" spans="2:25" s="197" customFormat="1" ht="24" customHeight="1">
      <c r="B43" s="194"/>
      <c r="C43" s="397"/>
      <c r="D43" s="583"/>
      <c r="E43" s="195"/>
      <c r="F43" s="196"/>
      <c r="G43" s="196"/>
      <c r="H43" s="583"/>
      <c r="I43" s="590"/>
      <c r="J43" s="200"/>
      <c r="K43" s="589"/>
      <c r="L43" s="201"/>
      <c r="M43" s="198"/>
      <c r="N43" s="198"/>
      <c r="O43" s="196"/>
      <c r="P43" s="198"/>
      <c r="Q43" s="196"/>
      <c r="R43" s="198"/>
      <c r="S43" s="198"/>
      <c r="T43" s="200"/>
      <c r="U43" s="198"/>
      <c r="V43" s="198"/>
      <c r="W43" s="198"/>
      <c r="X43" s="198"/>
      <c r="Y43" s="199"/>
    </row>
    <row r="44" spans="2:25" s="197" customFormat="1" ht="24" customHeight="1">
      <c r="B44" s="194"/>
      <c r="C44" s="397"/>
      <c r="D44" s="583"/>
      <c r="E44" s="195"/>
      <c r="F44" s="196"/>
      <c r="G44" s="196"/>
      <c r="H44" s="583"/>
      <c r="I44" s="590"/>
      <c r="J44" s="200"/>
      <c r="K44" s="589"/>
      <c r="L44" s="201"/>
      <c r="M44" s="198"/>
      <c r="N44" s="198"/>
      <c r="O44" s="196"/>
      <c r="P44" s="198"/>
      <c r="Q44" s="196"/>
      <c r="R44" s="198"/>
      <c r="S44" s="198"/>
      <c r="T44" s="200"/>
      <c r="U44" s="198"/>
      <c r="V44" s="198"/>
      <c r="W44" s="198"/>
      <c r="X44" s="198"/>
      <c r="Y44" s="199"/>
    </row>
    <row r="45" spans="2:25" s="197" customFormat="1" ht="24" customHeight="1">
      <c r="B45" s="194"/>
      <c r="C45" s="397"/>
      <c r="D45" s="583"/>
      <c r="E45" s="195"/>
      <c r="F45" s="196"/>
      <c r="G45" s="196"/>
      <c r="H45" s="583"/>
      <c r="I45" s="590"/>
      <c r="J45" s="200"/>
      <c r="K45" s="589"/>
      <c r="L45" s="201"/>
      <c r="M45" s="198"/>
      <c r="N45" s="198"/>
      <c r="O45" s="196"/>
      <c r="P45" s="198"/>
      <c r="Q45" s="196"/>
      <c r="R45" s="198"/>
      <c r="S45" s="198"/>
      <c r="T45" s="200"/>
      <c r="U45" s="198"/>
      <c r="V45" s="198"/>
      <c r="W45" s="198"/>
      <c r="X45" s="198"/>
      <c r="Y45" s="199"/>
    </row>
    <row r="46" spans="2:25" s="197" customFormat="1" ht="24" customHeight="1">
      <c r="B46" s="194"/>
      <c r="C46" s="397"/>
      <c r="D46" s="583"/>
      <c r="E46" s="195"/>
      <c r="F46" s="196"/>
      <c r="G46" s="196"/>
      <c r="H46" s="583"/>
      <c r="I46" s="590"/>
      <c r="J46" s="200"/>
      <c r="K46" s="589"/>
      <c r="L46" s="201"/>
      <c r="M46" s="198"/>
      <c r="N46" s="198"/>
      <c r="O46" s="196"/>
      <c r="P46" s="198"/>
      <c r="Q46" s="196"/>
      <c r="R46" s="198"/>
      <c r="S46" s="198"/>
      <c r="T46" s="200"/>
      <c r="U46" s="198"/>
      <c r="V46" s="198"/>
      <c r="W46" s="198"/>
      <c r="X46" s="198"/>
      <c r="Y46" s="199"/>
    </row>
    <row r="47" spans="2:25" s="197" customFormat="1" ht="24" customHeight="1">
      <c r="B47" s="194"/>
      <c r="C47" s="397"/>
      <c r="D47" s="583"/>
      <c r="E47" s="195"/>
      <c r="F47" s="196"/>
      <c r="G47" s="196"/>
      <c r="H47" s="583"/>
      <c r="I47" s="590"/>
      <c r="J47" s="200"/>
      <c r="K47" s="589"/>
      <c r="L47" s="201"/>
      <c r="M47" s="198"/>
      <c r="N47" s="198"/>
      <c r="O47" s="196"/>
      <c r="P47" s="198"/>
      <c r="Q47" s="196"/>
      <c r="R47" s="198"/>
      <c r="S47" s="198"/>
      <c r="T47" s="200"/>
      <c r="U47" s="198"/>
      <c r="V47" s="198"/>
      <c r="W47" s="198"/>
      <c r="X47" s="198"/>
      <c r="Y47" s="199"/>
    </row>
    <row r="48" spans="2:25" s="197" customFormat="1" ht="24" customHeight="1">
      <c r="B48" s="194"/>
      <c r="C48" s="397"/>
      <c r="D48" s="583"/>
      <c r="E48" s="195"/>
      <c r="F48" s="196"/>
      <c r="G48" s="196"/>
      <c r="H48" s="583"/>
      <c r="I48" s="590"/>
      <c r="J48" s="200"/>
      <c r="K48" s="589"/>
      <c r="L48" s="201"/>
      <c r="M48" s="198"/>
      <c r="N48" s="198"/>
      <c r="O48" s="196"/>
      <c r="P48" s="198"/>
      <c r="Q48" s="196"/>
      <c r="R48" s="198"/>
      <c r="S48" s="198"/>
      <c r="T48" s="200"/>
      <c r="U48" s="198"/>
      <c r="V48" s="198"/>
      <c r="W48" s="198"/>
      <c r="X48" s="198"/>
      <c r="Y48" s="199"/>
    </row>
    <row r="49" spans="2:25" s="197" customFormat="1" ht="24" customHeight="1">
      <c r="B49" s="194"/>
      <c r="C49" s="397"/>
      <c r="D49" s="583"/>
      <c r="E49" s="195"/>
      <c r="F49" s="196"/>
      <c r="G49" s="196"/>
      <c r="H49" s="583"/>
      <c r="I49" s="590"/>
      <c r="J49" s="200"/>
      <c r="K49" s="589"/>
      <c r="L49" s="201"/>
      <c r="M49" s="198"/>
      <c r="N49" s="198"/>
      <c r="O49" s="196"/>
      <c r="P49" s="198"/>
      <c r="Q49" s="196"/>
      <c r="R49" s="198"/>
      <c r="S49" s="198"/>
      <c r="T49" s="200"/>
      <c r="U49" s="198"/>
      <c r="V49" s="198"/>
      <c r="W49" s="198"/>
      <c r="X49" s="198"/>
      <c r="Y49" s="199"/>
    </row>
    <row r="50" spans="2:25" s="197" customFormat="1" ht="24" customHeight="1">
      <c r="B50" s="194"/>
      <c r="C50" s="397"/>
      <c r="D50" s="583"/>
      <c r="E50" s="195"/>
      <c r="F50" s="196"/>
      <c r="G50" s="196"/>
      <c r="H50" s="583"/>
      <c r="I50" s="590"/>
      <c r="J50" s="200"/>
      <c r="K50" s="589"/>
      <c r="L50" s="201"/>
      <c r="M50" s="198"/>
      <c r="N50" s="198"/>
      <c r="O50" s="196"/>
      <c r="P50" s="198"/>
      <c r="Q50" s="196"/>
      <c r="R50" s="198"/>
      <c r="S50" s="198"/>
      <c r="T50" s="200"/>
      <c r="U50" s="198"/>
      <c r="V50" s="198"/>
      <c r="W50" s="198"/>
      <c r="X50" s="198"/>
      <c r="Y50" s="199"/>
    </row>
    <row r="51" spans="2:25" s="197" customFormat="1" ht="24" customHeight="1">
      <c r="B51" s="194"/>
      <c r="C51" s="397"/>
      <c r="D51" s="583"/>
      <c r="E51" s="195"/>
      <c r="F51" s="196"/>
      <c r="G51" s="196"/>
      <c r="H51" s="583"/>
      <c r="I51" s="590"/>
      <c r="J51" s="200"/>
      <c r="K51" s="589"/>
      <c r="L51" s="201"/>
      <c r="M51" s="198"/>
      <c r="N51" s="198"/>
      <c r="O51" s="196"/>
      <c r="P51" s="198"/>
      <c r="Q51" s="196"/>
      <c r="R51" s="198"/>
      <c r="S51" s="198"/>
      <c r="T51" s="200"/>
      <c r="U51" s="198"/>
      <c r="V51" s="198"/>
      <c r="W51" s="198"/>
      <c r="X51" s="198"/>
      <c r="Y51" s="199"/>
    </row>
    <row r="52" spans="2:25" s="197" customFormat="1" ht="24" customHeight="1">
      <c r="B52" s="194"/>
      <c r="C52" s="397"/>
      <c r="D52" s="583"/>
      <c r="E52" s="195"/>
      <c r="F52" s="196"/>
      <c r="G52" s="196"/>
      <c r="H52" s="583"/>
      <c r="I52" s="590"/>
      <c r="J52" s="200"/>
      <c r="K52" s="589"/>
      <c r="L52" s="201"/>
      <c r="M52" s="198"/>
      <c r="N52" s="198"/>
      <c r="O52" s="196"/>
      <c r="P52" s="198"/>
      <c r="Q52" s="196"/>
      <c r="R52" s="198"/>
      <c r="S52" s="198"/>
      <c r="T52" s="200"/>
      <c r="U52" s="198"/>
      <c r="V52" s="198"/>
      <c r="W52" s="198"/>
      <c r="X52" s="198"/>
      <c r="Y52" s="199"/>
    </row>
    <row r="53" spans="2:25" s="197" customFormat="1" ht="24" customHeight="1">
      <c r="B53" s="194"/>
      <c r="C53" s="397"/>
      <c r="D53" s="583"/>
      <c r="E53" s="195"/>
      <c r="F53" s="196"/>
      <c r="G53" s="196"/>
      <c r="H53" s="583"/>
      <c r="I53" s="590"/>
      <c r="J53" s="200"/>
      <c r="K53" s="589"/>
      <c r="L53" s="201"/>
      <c r="M53" s="198"/>
      <c r="N53" s="198"/>
      <c r="O53" s="196"/>
      <c r="P53" s="198"/>
      <c r="Q53" s="196"/>
      <c r="R53" s="198"/>
      <c r="S53" s="198"/>
      <c r="T53" s="200"/>
      <c r="U53" s="198"/>
      <c r="V53" s="198"/>
      <c r="W53" s="198"/>
      <c r="X53" s="198"/>
      <c r="Y53" s="199"/>
    </row>
    <row r="54" spans="2:25" s="197" customFormat="1" ht="24" customHeight="1">
      <c r="B54" s="194"/>
      <c r="C54" s="397"/>
      <c r="D54" s="583"/>
      <c r="E54" s="195"/>
      <c r="F54" s="196"/>
      <c r="G54" s="196"/>
      <c r="H54" s="583"/>
      <c r="I54" s="590"/>
      <c r="J54" s="200"/>
      <c r="K54" s="589"/>
      <c r="L54" s="201"/>
      <c r="M54" s="198"/>
      <c r="N54" s="198"/>
      <c r="O54" s="196"/>
      <c r="P54" s="198"/>
      <c r="Q54" s="196"/>
      <c r="R54" s="198"/>
      <c r="S54" s="198"/>
      <c r="T54" s="200"/>
      <c r="U54" s="198"/>
      <c r="V54" s="198"/>
      <c r="W54" s="198"/>
      <c r="X54" s="198"/>
      <c r="Y54" s="199"/>
    </row>
    <row r="55" spans="2:25" s="197" customFormat="1" ht="24" customHeight="1">
      <c r="B55" s="194"/>
      <c r="C55" s="397"/>
      <c r="D55" s="583"/>
      <c r="E55" s="195"/>
      <c r="F55" s="196"/>
      <c r="G55" s="196"/>
      <c r="H55" s="583"/>
      <c r="I55" s="590"/>
      <c r="J55" s="200"/>
      <c r="K55" s="589"/>
      <c r="L55" s="201"/>
      <c r="M55" s="198"/>
      <c r="N55" s="198"/>
      <c r="O55" s="196"/>
      <c r="P55" s="198"/>
      <c r="Q55" s="196"/>
      <c r="R55" s="198"/>
      <c r="S55" s="198"/>
      <c r="T55" s="200"/>
      <c r="U55" s="198"/>
      <c r="V55" s="198"/>
      <c r="W55" s="198"/>
      <c r="X55" s="198"/>
      <c r="Y55" s="199"/>
    </row>
    <row r="56" spans="2:25" s="197" customFormat="1" ht="24" customHeight="1">
      <c r="B56" s="194"/>
      <c r="C56" s="397"/>
      <c r="D56" s="583"/>
      <c r="E56" s="195"/>
      <c r="F56" s="196"/>
      <c r="G56" s="196"/>
      <c r="H56" s="583"/>
      <c r="I56" s="590"/>
      <c r="J56" s="200"/>
      <c r="K56" s="589"/>
      <c r="L56" s="201"/>
      <c r="M56" s="198"/>
      <c r="N56" s="198"/>
      <c r="O56" s="196"/>
      <c r="P56" s="198"/>
      <c r="Q56" s="196"/>
      <c r="R56" s="198"/>
      <c r="S56" s="198"/>
      <c r="T56" s="200"/>
      <c r="U56" s="198"/>
      <c r="V56" s="198"/>
      <c r="W56" s="198"/>
      <c r="X56" s="198"/>
      <c r="Y56" s="199"/>
    </row>
    <row r="57" spans="2:25" s="197" customFormat="1" ht="24" customHeight="1">
      <c r="B57" s="194"/>
      <c r="C57" s="397"/>
      <c r="D57" s="583"/>
      <c r="E57" s="195"/>
      <c r="F57" s="196"/>
      <c r="G57" s="196"/>
      <c r="H57" s="583"/>
      <c r="I57" s="590"/>
      <c r="J57" s="200"/>
      <c r="K57" s="589"/>
      <c r="L57" s="201"/>
      <c r="M57" s="198"/>
      <c r="N57" s="198"/>
      <c r="O57" s="196"/>
      <c r="P57" s="198"/>
      <c r="Q57" s="196"/>
      <c r="R57" s="198"/>
      <c r="S57" s="198"/>
      <c r="T57" s="200"/>
      <c r="U57" s="198"/>
      <c r="V57" s="198"/>
      <c r="W57" s="198"/>
      <c r="X57" s="198"/>
      <c r="Y57" s="199"/>
    </row>
    <row r="58" spans="2:25" s="197" customFormat="1" ht="24" customHeight="1">
      <c r="B58" s="194"/>
      <c r="C58" s="397"/>
      <c r="D58" s="583"/>
      <c r="E58" s="195"/>
      <c r="F58" s="196"/>
      <c r="G58" s="196"/>
      <c r="H58" s="583"/>
      <c r="I58" s="590"/>
      <c r="J58" s="200"/>
      <c r="K58" s="589"/>
      <c r="L58" s="201"/>
      <c r="M58" s="198"/>
      <c r="N58" s="198"/>
      <c r="O58" s="196"/>
      <c r="P58" s="198"/>
      <c r="Q58" s="196"/>
      <c r="R58" s="198"/>
      <c r="S58" s="198"/>
      <c r="T58" s="200"/>
      <c r="U58" s="198"/>
      <c r="V58" s="198"/>
      <c r="W58" s="198"/>
      <c r="X58" s="198"/>
      <c r="Y58" s="199"/>
    </row>
    <row r="59" spans="2:25" s="197" customFormat="1" ht="24" customHeight="1">
      <c r="B59" s="194"/>
      <c r="C59" s="397"/>
      <c r="D59" s="583"/>
      <c r="E59" s="195"/>
      <c r="F59" s="196"/>
      <c r="G59" s="196"/>
      <c r="H59" s="583"/>
      <c r="I59" s="590"/>
      <c r="J59" s="200"/>
      <c r="K59" s="589"/>
      <c r="L59" s="201"/>
      <c r="M59" s="198"/>
      <c r="N59" s="198"/>
      <c r="O59" s="196"/>
      <c r="P59" s="198"/>
      <c r="Q59" s="196"/>
      <c r="R59" s="198"/>
      <c r="S59" s="198"/>
      <c r="T59" s="200"/>
      <c r="U59" s="198"/>
      <c r="V59" s="198"/>
      <c r="W59" s="198"/>
      <c r="X59" s="198"/>
      <c r="Y59" s="199"/>
    </row>
    <row r="60" spans="2:25" s="197" customFormat="1" ht="24" customHeight="1">
      <c r="B60" s="194"/>
      <c r="C60" s="397"/>
      <c r="D60" s="583"/>
      <c r="E60" s="195"/>
      <c r="F60" s="196"/>
      <c r="G60" s="196"/>
      <c r="H60" s="583"/>
      <c r="I60" s="590"/>
      <c r="J60" s="200"/>
      <c r="K60" s="589"/>
      <c r="L60" s="201"/>
      <c r="M60" s="198"/>
      <c r="N60" s="198"/>
      <c r="O60" s="196"/>
      <c r="P60" s="198"/>
      <c r="Q60" s="196"/>
      <c r="R60" s="198"/>
      <c r="S60" s="198"/>
      <c r="T60" s="200"/>
      <c r="U60" s="198"/>
      <c r="V60" s="198"/>
      <c r="W60" s="198"/>
      <c r="X60" s="198"/>
      <c r="Y60" s="199"/>
    </row>
    <row r="61" spans="2:25" s="197" customFormat="1" ht="24" customHeight="1">
      <c r="B61" s="194"/>
      <c r="C61" s="397"/>
      <c r="D61" s="583"/>
      <c r="E61" s="195"/>
      <c r="F61" s="196"/>
      <c r="G61" s="196"/>
      <c r="H61" s="583"/>
      <c r="I61" s="590"/>
      <c r="J61" s="200"/>
      <c r="K61" s="589"/>
      <c r="L61" s="201"/>
      <c r="M61" s="198"/>
      <c r="N61" s="198"/>
      <c r="O61" s="196"/>
      <c r="P61" s="198"/>
      <c r="Q61" s="196"/>
      <c r="R61" s="198"/>
      <c r="S61" s="198"/>
      <c r="T61" s="200"/>
      <c r="U61" s="198"/>
      <c r="V61" s="198"/>
      <c r="W61" s="198"/>
      <c r="X61" s="198"/>
      <c r="Y61" s="199"/>
    </row>
    <row r="62" spans="2:25" s="197" customFormat="1" ht="24" customHeight="1">
      <c r="B62" s="194"/>
      <c r="C62" s="397"/>
      <c r="D62" s="583"/>
      <c r="E62" s="195"/>
      <c r="F62" s="196"/>
      <c r="G62" s="196"/>
      <c r="H62" s="583"/>
      <c r="I62" s="590"/>
      <c r="J62" s="200"/>
      <c r="K62" s="589"/>
      <c r="L62" s="201"/>
      <c r="M62" s="198"/>
      <c r="N62" s="198"/>
      <c r="O62" s="196"/>
      <c r="P62" s="198"/>
      <c r="Q62" s="196"/>
      <c r="R62" s="198"/>
      <c r="S62" s="198"/>
      <c r="T62" s="200"/>
      <c r="U62" s="198"/>
      <c r="V62" s="198"/>
      <c r="W62" s="198"/>
      <c r="X62" s="198"/>
      <c r="Y62" s="199"/>
    </row>
    <row r="63" spans="2:25" s="197" customFormat="1" ht="24" customHeight="1">
      <c r="B63" s="194"/>
      <c r="C63" s="397"/>
      <c r="D63" s="583"/>
      <c r="E63" s="195"/>
      <c r="F63" s="196"/>
      <c r="G63" s="196"/>
      <c r="H63" s="583"/>
      <c r="I63" s="590"/>
      <c r="J63" s="200"/>
      <c r="K63" s="589"/>
      <c r="L63" s="201"/>
      <c r="M63" s="198"/>
      <c r="N63" s="198"/>
      <c r="O63" s="196"/>
      <c r="P63" s="198"/>
      <c r="Q63" s="196"/>
      <c r="R63" s="198"/>
      <c r="S63" s="198"/>
      <c r="T63" s="200"/>
      <c r="U63" s="198"/>
      <c r="V63" s="198"/>
      <c r="W63" s="198"/>
      <c r="X63" s="198"/>
      <c r="Y63" s="199"/>
    </row>
    <row r="64" spans="2:25" s="197" customFormat="1" ht="24" customHeight="1">
      <c r="B64" s="194"/>
      <c r="C64" s="397"/>
      <c r="D64" s="583"/>
      <c r="E64" s="195"/>
      <c r="F64" s="196"/>
      <c r="G64" s="196"/>
      <c r="H64" s="583"/>
      <c r="I64" s="590"/>
      <c r="J64" s="200"/>
      <c r="K64" s="589"/>
      <c r="L64" s="201"/>
      <c r="M64" s="198"/>
      <c r="N64" s="198"/>
      <c r="O64" s="196"/>
      <c r="P64" s="198"/>
      <c r="Q64" s="196"/>
      <c r="R64" s="198"/>
      <c r="S64" s="198"/>
      <c r="T64" s="200"/>
      <c r="U64" s="198"/>
      <c r="V64" s="198"/>
      <c r="W64" s="198"/>
      <c r="X64" s="198"/>
      <c r="Y64" s="199"/>
    </row>
    <row r="65" spans="2:25" s="197" customFormat="1" ht="24" customHeight="1">
      <c r="B65" s="194"/>
      <c r="C65" s="397"/>
      <c r="D65" s="583"/>
      <c r="E65" s="195"/>
      <c r="F65" s="196"/>
      <c r="G65" s="196"/>
      <c r="H65" s="583"/>
      <c r="I65" s="590"/>
      <c r="J65" s="200"/>
      <c r="K65" s="589"/>
      <c r="L65" s="201"/>
      <c r="M65" s="198"/>
      <c r="N65" s="198"/>
      <c r="O65" s="196"/>
      <c r="P65" s="198"/>
      <c r="Q65" s="196"/>
      <c r="R65" s="198"/>
      <c r="S65" s="198"/>
      <c r="T65" s="200"/>
      <c r="U65" s="198"/>
      <c r="V65" s="198"/>
      <c r="W65" s="198"/>
      <c r="X65" s="198"/>
      <c r="Y65" s="199"/>
    </row>
    <row r="66" spans="2:25" s="197" customFormat="1" ht="24" customHeight="1">
      <c r="B66" s="194"/>
      <c r="C66" s="397"/>
      <c r="D66" s="195"/>
      <c r="E66" s="195"/>
      <c r="F66" s="196"/>
      <c r="G66" s="196"/>
      <c r="H66" s="590"/>
      <c r="I66" s="590"/>
      <c r="J66" s="200"/>
      <c r="K66" s="589"/>
      <c r="L66" s="201"/>
      <c r="M66" s="198"/>
      <c r="N66" s="198"/>
      <c r="O66" s="196"/>
      <c r="P66" s="198"/>
      <c r="Q66" s="196"/>
      <c r="R66" s="198"/>
      <c r="S66" s="198"/>
      <c r="T66" s="200"/>
      <c r="U66" s="198"/>
      <c r="V66" s="198"/>
      <c r="W66" s="198"/>
      <c r="X66" s="198"/>
      <c r="Y66" s="199"/>
    </row>
    <row r="67" spans="2:25" s="23" customFormat="1" ht="24" customHeight="1">
      <c r="B67" s="54" t="s">
        <v>277</v>
      </c>
      <c r="C67" s="13"/>
      <c r="D67" s="14"/>
      <c r="E67" s="14"/>
      <c r="F67" s="198">
        <f>SUM(F9:F66)</f>
        <v>0</v>
      </c>
      <c r="G67" s="198">
        <v>1</v>
      </c>
      <c r="H67" s="217" t="s">
        <v>422</v>
      </c>
      <c r="I67" s="218" t="e">
        <f>ROUND(F67/J67,0)</f>
        <v>#DIV/0!</v>
      </c>
      <c r="J67" s="219">
        <f>SUM(J9:J65)</f>
        <v>0</v>
      </c>
      <c r="K67" s="207">
        <v>3</v>
      </c>
      <c r="L67" s="220"/>
      <c r="M67" s="198">
        <f>SUM(M9:M65)</f>
        <v>0</v>
      </c>
      <c r="N67" s="198"/>
      <c r="O67" s="198">
        <f>SUM(O9:O65)</f>
        <v>0</v>
      </c>
      <c r="P67" s="196" t="e">
        <f>R67/F67</f>
        <v>#DIV/0!</v>
      </c>
      <c r="Q67" s="196" t="e">
        <f>S67/F67</f>
        <v>#DIV/0!</v>
      </c>
      <c r="R67" s="198">
        <f>SUM(R9:R65)</f>
        <v>0</v>
      </c>
      <c r="S67" s="198">
        <f>SUM(S9:S65)</f>
        <v>0</v>
      </c>
      <c r="T67" s="198"/>
      <c r="U67" s="198">
        <f>SUM(U9:U65)</f>
        <v>0</v>
      </c>
      <c r="V67" s="198">
        <f>SUM(V9:V65)</f>
        <v>0</v>
      </c>
      <c r="W67" s="198">
        <f>SUM(W9:W65)</f>
        <v>0</v>
      </c>
      <c r="X67" s="198">
        <f>SUM(X9:X65)</f>
        <v>0</v>
      </c>
      <c r="Y67" s="53"/>
    </row>
    <row r="68" spans="2:25" s="23" customFormat="1" ht="24" customHeight="1" thickBot="1">
      <c r="B68" s="27"/>
      <c r="C68" s="51"/>
      <c r="D68" s="55"/>
      <c r="E68" s="55"/>
      <c r="F68" s="50" t="s">
        <v>45</v>
      </c>
      <c r="G68" s="51"/>
      <c r="H68" s="55"/>
      <c r="I68" s="55"/>
      <c r="J68" s="51"/>
      <c r="K68" s="56" t="s">
        <v>46</v>
      </c>
      <c r="L68" s="57" t="s">
        <v>45</v>
      </c>
      <c r="M68" s="50" t="s">
        <v>45</v>
      </c>
      <c r="N68" s="50" t="s">
        <v>45</v>
      </c>
      <c r="O68" s="41" t="s">
        <v>35</v>
      </c>
      <c r="P68" s="41" t="s">
        <v>14</v>
      </c>
      <c r="Q68" s="41" t="s">
        <v>14</v>
      </c>
      <c r="R68" s="41" t="s">
        <v>13</v>
      </c>
      <c r="S68" s="41" t="s">
        <v>13</v>
      </c>
      <c r="T68" s="38"/>
      <c r="U68" s="41" t="s">
        <v>14</v>
      </c>
      <c r="V68" s="41" t="s">
        <v>14</v>
      </c>
      <c r="W68" s="41" t="s">
        <v>14</v>
      </c>
      <c r="X68" s="41" t="s">
        <v>14</v>
      </c>
      <c r="Y68" s="61" t="s">
        <v>423</v>
      </c>
    </row>
    <row r="69" spans="2:25" s="23" customFormat="1" ht="24" customHeight="1">
      <c r="B69" s="45"/>
      <c r="C69" s="1750"/>
      <c r="D69" s="1751"/>
      <c r="E69" s="1751"/>
      <c r="F69" s="28" t="s">
        <v>40</v>
      </c>
      <c r="G69" s="1750" t="s">
        <v>424</v>
      </c>
      <c r="H69" s="1751"/>
      <c r="I69" s="1758"/>
      <c r="J69" s="31"/>
      <c r="K69" s="154" t="s">
        <v>39</v>
      </c>
      <c r="L69" s="49"/>
      <c r="M69" s="46"/>
      <c r="N69" s="48"/>
      <c r="O69" s="30" t="s">
        <v>28</v>
      </c>
      <c r="P69" s="30" t="s">
        <v>29</v>
      </c>
      <c r="Q69" s="30" t="s">
        <v>30</v>
      </c>
      <c r="R69" s="51"/>
      <c r="S69" s="51"/>
      <c r="T69" s="30" t="s">
        <v>31</v>
      </c>
      <c r="U69" s="58" t="s">
        <v>32</v>
      </c>
      <c r="V69" s="58" t="s">
        <v>33</v>
      </c>
      <c r="W69" s="58" t="s">
        <v>34</v>
      </c>
      <c r="X69" s="58" t="s">
        <v>4</v>
      </c>
      <c r="Y69" s="52"/>
    </row>
    <row r="70" spans="2:25" s="23" customFormat="1" ht="24" customHeight="1">
      <c r="B70" s="27" t="s">
        <v>38</v>
      </c>
      <c r="C70" s="1740" t="s">
        <v>7</v>
      </c>
      <c r="D70" s="1741"/>
      <c r="E70" s="1741"/>
      <c r="F70" s="30" t="s">
        <v>1</v>
      </c>
      <c r="G70" s="1752" t="s">
        <v>425</v>
      </c>
      <c r="H70" s="1753"/>
      <c r="I70" s="1754"/>
      <c r="J70" s="58" t="s">
        <v>41</v>
      </c>
      <c r="K70" s="34" t="s">
        <v>42</v>
      </c>
      <c r="L70" s="59" t="s">
        <v>27</v>
      </c>
      <c r="M70" s="58" t="s">
        <v>43</v>
      </c>
      <c r="N70" s="58" t="s">
        <v>44</v>
      </c>
      <c r="O70" s="30" t="s">
        <v>20</v>
      </c>
      <c r="P70" s="58" t="s">
        <v>21</v>
      </c>
      <c r="Q70" s="58" t="s">
        <v>22</v>
      </c>
      <c r="R70" s="58" t="s">
        <v>23</v>
      </c>
      <c r="S70" s="58" t="s">
        <v>24</v>
      </c>
      <c r="T70" s="155" t="s">
        <v>25</v>
      </c>
      <c r="U70" s="1752" t="s">
        <v>426</v>
      </c>
      <c r="V70" s="1753"/>
      <c r="W70" s="1753"/>
      <c r="X70" s="1753"/>
      <c r="Y70" s="35" t="s">
        <v>26</v>
      </c>
    </row>
    <row r="71" spans="2:25" s="23" customFormat="1" ht="24" customHeight="1" thickBot="1">
      <c r="B71" s="36"/>
      <c r="C71" s="37"/>
      <c r="D71" s="24"/>
      <c r="E71" s="24"/>
      <c r="F71" s="37"/>
      <c r="G71" s="1742" t="s">
        <v>427</v>
      </c>
      <c r="H71" s="1743"/>
      <c r="I71" s="1743"/>
      <c r="J71" s="1743"/>
      <c r="K71" s="60"/>
      <c r="L71" s="1743" t="s">
        <v>428</v>
      </c>
      <c r="M71" s="1743"/>
      <c r="N71" s="1743"/>
      <c r="O71" s="38"/>
      <c r="P71" s="1742" t="s">
        <v>417</v>
      </c>
      <c r="Q71" s="1743"/>
      <c r="R71" s="1743"/>
      <c r="S71" s="1743"/>
      <c r="T71" s="1743"/>
      <c r="U71" s="1743"/>
      <c r="V71" s="1743"/>
      <c r="W71" s="1743"/>
      <c r="X71" s="1743"/>
      <c r="Y71" s="44"/>
    </row>
    <row r="72" spans="1:17" ht="13.5">
      <c r="A72" s="15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3.5">
      <c r="A73" s="15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3.5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3.5">
      <c r="A75" s="15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3.5">
      <c r="A76" s="15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3.5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3.5">
      <c r="A78" s="15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ht="13.5">
      <c r="A79" s="15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13.5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13.5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13.5">
      <c r="A82" s="15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3.5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3.5">
      <c r="A84" s="15"/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3.5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ht="13.5">
      <c r="A86" s="15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ht="13.5">
      <c r="A87" s="15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ht="13.5">
      <c r="A88" s="15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ht="13.5">
      <c r="A89" s="15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t="13.5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3.5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3.5">
      <c r="A92" s="15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3.5">
      <c r="A93" s="15"/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3.5">
      <c r="A94" s="15"/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3.5">
      <c r="A95" s="15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13.5">
      <c r="A96" s="15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3.5">
      <c r="A97" s="15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3.5">
      <c r="A98" s="15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3.5">
      <c r="A99" s="15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3.5">
      <c r="A100" s="15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3.5">
      <c r="A101" s="15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3.5">
      <c r="A102" s="15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13.5">
      <c r="A103" s="15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3.5">
      <c r="A104" s="15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t="13.5">
      <c r="A105" s="15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13.5">
      <c r="A106" s="15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t="13.5">
      <c r="A107" s="15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13.5">
      <c r="A108" s="15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3.5">
      <c r="A109" s="15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3.5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3.5">
      <c r="A111" s="15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3.5">
      <c r="A112" s="15"/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13.5">
      <c r="A113" s="15"/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3.5">
      <c r="A114" s="15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3.5">
      <c r="A115" s="15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3.5">
      <c r="A116" s="15"/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3.5">
      <c r="A117" s="15"/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3.5">
      <c r="A118" s="15"/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3.5">
      <c r="A119" s="15"/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3.5">
      <c r="A120" s="15"/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3.5">
      <c r="A121" s="15"/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3.5">
      <c r="A122" s="15"/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3.5">
      <c r="A123" s="15"/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</sheetData>
  <sheetProtection/>
  <mergeCells count="45">
    <mergeCell ref="G23:I23"/>
    <mergeCell ref="G24:I24"/>
    <mergeCell ref="G25:I25"/>
    <mergeCell ref="G33:I33"/>
    <mergeCell ref="G34:I34"/>
    <mergeCell ref="G29:I29"/>
    <mergeCell ref="G30:I30"/>
    <mergeCell ref="G31:I31"/>
    <mergeCell ref="G32:I32"/>
    <mergeCell ref="G15:I15"/>
    <mergeCell ref="G16:I16"/>
    <mergeCell ref="G19:I19"/>
    <mergeCell ref="G20:I20"/>
    <mergeCell ref="G21:I21"/>
    <mergeCell ref="G22:I22"/>
    <mergeCell ref="C2:X2"/>
    <mergeCell ref="C5:E5"/>
    <mergeCell ref="C6:E6"/>
    <mergeCell ref="G5:J5"/>
    <mergeCell ref="L5:N5"/>
    <mergeCell ref="D4:E4"/>
    <mergeCell ref="G4:I4"/>
    <mergeCell ref="P5:X5"/>
    <mergeCell ref="U6:X6"/>
    <mergeCell ref="G6:I6"/>
    <mergeCell ref="P71:X71"/>
    <mergeCell ref="U70:X70"/>
    <mergeCell ref="G70:I70"/>
    <mergeCell ref="G7:I7"/>
    <mergeCell ref="G69:I69"/>
    <mergeCell ref="G26:I26"/>
    <mergeCell ref="G14:I14"/>
    <mergeCell ref="G17:I17"/>
    <mergeCell ref="G18:I18"/>
    <mergeCell ref="G28:I28"/>
    <mergeCell ref="C70:E70"/>
    <mergeCell ref="G71:J71"/>
    <mergeCell ref="L71:N71"/>
    <mergeCell ref="G9:I9"/>
    <mergeCell ref="G10:I10"/>
    <mergeCell ref="G11:I11"/>
    <mergeCell ref="G12:I12"/>
    <mergeCell ref="G13:I13"/>
    <mergeCell ref="C69:E69"/>
    <mergeCell ref="G27:I27"/>
  </mergeCells>
  <printOptions horizontalCentered="1" verticalCentered="1"/>
  <pageMargins left="0.5905511811023623" right="0" top="0.5905511811023623" bottom="0.1968503937007874" header="0" footer="0"/>
  <pageSetup horizontalDpi="300" verticalDpi="300" orientation="portrait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124"/>
  <sheetViews>
    <sheetView view="pageBreakPreview" zoomScale="70" zoomScaleNormal="60" zoomScaleSheetLayoutView="70" zoomScalePageLayoutView="0" workbookViewId="0" topLeftCell="A2">
      <pane xSplit="2" ySplit="6" topLeftCell="C8" activePane="bottomRight" state="frozen"/>
      <selection pane="topLeft" activeCell="T34" sqref="T34"/>
      <selection pane="topRight" activeCell="T34" sqref="T34"/>
      <selection pane="bottomLeft" activeCell="T34" sqref="T34"/>
      <selection pane="bottomRight" activeCell="K34" sqref="K34"/>
    </sheetView>
  </sheetViews>
  <sheetFormatPr defaultColWidth="10.625" defaultRowHeight="13.5"/>
  <cols>
    <col min="1" max="1" width="9.25390625" style="597" customWidth="1"/>
    <col min="2" max="2" width="14.125" style="591" customWidth="1"/>
    <col min="3" max="3" width="5.625" style="585" customWidth="1"/>
    <col min="4" max="4" width="2.125" style="585" customWidth="1"/>
    <col min="5" max="5" width="5.625" style="585" customWidth="1"/>
    <col min="6" max="6" width="13.625" style="585" customWidth="1"/>
    <col min="7" max="7" width="11.125" style="585" customWidth="1"/>
    <col min="8" max="8" width="11.875" style="585" customWidth="1"/>
    <col min="9" max="10" width="13.625" style="585" customWidth="1"/>
    <col min="11" max="11" width="13.00390625" style="585" customWidth="1"/>
    <col min="12" max="12" width="8.875" style="585" customWidth="1"/>
    <col min="13" max="14" width="13.625" style="585" customWidth="1"/>
    <col min="15" max="15" width="13.00390625" style="585" customWidth="1"/>
    <col min="16" max="16" width="8.875" style="585" customWidth="1"/>
    <col min="17" max="18" width="13.625" style="585" customWidth="1"/>
    <col min="19" max="16384" width="10.625" style="585" customWidth="1"/>
  </cols>
  <sheetData>
    <row r="1" spans="1:14" ht="17.25">
      <c r="A1" s="208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584"/>
    </row>
    <row r="2" spans="1:17" s="586" customFormat="1" ht="45" customHeight="1">
      <c r="A2" s="209"/>
      <c r="B2" s="19"/>
      <c r="C2" s="1759" t="s">
        <v>429</v>
      </c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60"/>
    </row>
    <row r="3" spans="1:17" s="23" customFormat="1" ht="24" customHeight="1">
      <c r="A3" s="210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6" s="23" customFormat="1" ht="24" customHeight="1" thickBot="1">
      <c r="A4" s="211"/>
      <c r="B4" s="127"/>
      <c r="C4" s="127" t="s">
        <v>5</v>
      </c>
      <c r="D4" s="1763" t="str">
        <f>+'表紙１'!D7</f>
        <v>1</v>
      </c>
      <c r="E4" s="1763"/>
      <c r="F4" s="24" t="s">
        <v>131</v>
      </c>
      <c r="G4" s="33" t="str">
        <f>+'表紙１'!F7</f>
        <v>－</v>
      </c>
      <c r="H4" s="33" t="s">
        <v>37</v>
      </c>
      <c r="I4" s="25"/>
      <c r="J4" s="26"/>
      <c r="K4" s="26"/>
      <c r="L4" s="55"/>
      <c r="M4" s="588"/>
      <c r="N4" s="588"/>
      <c r="O4" s="592" t="s">
        <v>430</v>
      </c>
      <c r="P4" s="592"/>
    </row>
    <row r="5" spans="1:18" s="23" customFormat="1" ht="24" customHeight="1">
      <c r="A5" s="211"/>
      <c r="B5" s="27"/>
      <c r="C5" s="1750"/>
      <c r="D5" s="1751"/>
      <c r="E5" s="1758"/>
      <c r="F5" s="30"/>
      <c r="G5" s="162"/>
      <c r="H5" s="162"/>
      <c r="I5" s="1760" t="s">
        <v>278</v>
      </c>
      <c r="J5" s="1774"/>
      <c r="K5" s="1774"/>
      <c r="L5" s="1775"/>
      <c r="M5" s="1760" t="s">
        <v>280</v>
      </c>
      <c r="N5" s="1772"/>
      <c r="O5" s="1772"/>
      <c r="P5" s="1773"/>
      <c r="Q5" s="162"/>
      <c r="R5" s="32"/>
    </row>
    <row r="6" spans="1:18" s="23" customFormat="1" ht="24" customHeight="1">
      <c r="A6" s="211"/>
      <c r="B6" s="27" t="s">
        <v>38</v>
      </c>
      <c r="C6" s="1740" t="s">
        <v>7</v>
      </c>
      <c r="D6" s="1741"/>
      <c r="E6" s="1741"/>
      <c r="F6" s="30" t="s">
        <v>1</v>
      </c>
      <c r="G6" s="163" t="s">
        <v>431</v>
      </c>
      <c r="H6" s="34" t="s">
        <v>432</v>
      </c>
      <c r="I6" s="33" t="s">
        <v>433</v>
      </c>
      <c r="J6" s="30" t="s">
        <v>434</v>
      </c>
      <c r="K6" s="163" t="s">
        <v>279</v>
      </c>
      <c r="L6" s="212" t="s">
        <v>435</v>
      </c>
      <c r="M6" s="165" t="s">
        <v>433</v>
      </c>
      <c r="N6" s="30" t="s">
        <v>434</v>
      </c>
      <c r="O6" s="163" t="s">
        <v>281</v>
      </c>
      <c r="P6" s="212" t="s">
        <v>435</v>
      </c>
      <c r="Q6" s="34" t="s">
        <v>436</v>
      </c>
      <c r="R6" s="35" t="s">
        <v>26</v>
      </c>
    </row>
    <row r="7" spans="1:18" s="23" customFormat="1" ht="24" customHeight="1" thickBot="1">
      <c r="A7" s="211"/>
      <c r="B7" s="36"/>
      <c r="C7" s="37"/>
      <c r="D7" s="24"/>
      <c r="E7" s="24"/>
      <c r="F7" s="37" t="s">
        <v>40</v>
      </c>
      <c r="G7" s="60" t="s">
        <v>437</v>
      </c>
      <c r="H7" s="164" t="s">
        <v>438</v>
      </c>
      <c r="I7" s="40"/>
      <c r="J7" s="41"/>
      <c r="K7" s="39"/>
      <c r="L7" s="157" t="s">
        <v>439</v>
      </c>
      <c r="M7" s="39"/>
      <c r="N7" s="41"/>
      <c r="O7" s="39"/>
      <c r="P7" s="157" t="s">
        <v>440</v>
      </c>
      <c r="Q7" s="164" t="s">
        <v>441</v>
      </c>
      <c r="R7" s="44"/>
    </row>
    <row r="8" spans="1:18" s="23" customFormat="1" ht="24" customHeight="1">
      <c r="A8" s="211"/>
      <c r="B8" s="45"/>
      <c r="C8" s="28"/>
      <c r="D8" s="29"/>
      <c r="E8" s="29"/>
      <c r="F8" s="46" t="s">
        <v>45</v>
      </c>
      <c r="G8" s="31"/>
      <c r="H8" s="169"/>
      <c r="I8" s="48" t="s">
        <v>14</v>
      </c>
      <c r="J8" s="50" t="s">
        <v>14</v>
      </c>
      <c r="K8" s="50" t="s">
        <v>14</v>
      </c>
      <c r="L8" s="50"/>
      <c r="M8" s="50" t="s">
        <v>14</v>
      </c>
      <c r="N8" s="50" t="s">
        <v>14</v>
      </c>
      <c r="O8" s="50" t="s">
        <v>14</v>
      </c>
      <c r="P8" s="50"/>
      <c r="Q8" s="48" t="s">
        <v>45</v>
      </c>
      <c r="R8" s="52"/>
    </row>
    <row r="9" spans="1:18" s="23" customFormat="1" ht="24" customHeight="1">
      <c r="A9" s="211"/>
      <c r="B9" s="194"/>
      <c r="C9" s="206"/>
      <c r="D9" s="195"/>
      <c r="E9" s="195"/>
      <c r="F9" s="196"/>
      <c r="G9" s="593"/>
      <c r="H9" s="213"/>
      <c r="I9" s="759"/>
      <c r="J9" s="760"/>
      <c r="K9" s="760"/>
      <c r="L9" s="761"/>
      <c r="M9" s="760"/>
      <c r="N9" s="762"/>
      <c r="O9" s="219"/>
      <c r="P9" s="214"/>
      <c r="Q9" s="207"/>
      <c r="R9" s="53"/>
    </row>
    <row r="10" spans="1:18" s="23" customFormat="1" ht="24" customHeight="1">
      <c r="A10" s="211"/>
      <c r="B10" s="194"/>
      <c r="C10" s="206"/>
      <c r="D10" s="195"/>
      <c r="E10" s="195"/>
      <c r="F10" s="196"/>
      <c r="G10" s="593"/>
      <c r="H10" s="213"/>
      <c r="I10" s="759"/>
      <c r="J10" s="760"/>
      <c r="K10" s="760"/>
      <c r="L10" s="761"/>
      <c r="M10" s="760"/>
      <c r="N10" s="762"/>
      <c r="O10" s="219"/>
      <c r="P10" s="214"/>
      <c r="Q10" s="207"/>
      <c r="R10" s="53"/>
    </row>
    <row r="11" spans="1:18" s="23" customFormat="1" ht="24" customHeight="1">
      <c r="A11" s="211"/>
      <c r="B11" s="194"/>
      <c r="C11" s="206"/>
      <c r="D11" s="195"/>
      <c r="E11" s="195"/>
      <c r="F11" s="196"/>
      <c r="G11" s="593"/>
      <c r="H11" s="213"/>
      <c r="I11" s="759"/>
      <c r="J11" s="760"/>
      <c r="K11" s="760"/>
      <c r="L11" s="761"/>
      <c r="M11" s="760"/>
      <c r="N11" s="762"/>
      <c r="O11" s="219"/>
      <c r="P11" s="214"/>
      <c r="Q11" s="207"/>
      <c r="R11" s="53"/>
    </row>
    <row r="12" spans="1:18" s="23" customFormat="1" ht="24" customHeight="1">
      <c r="A12" s="211"/>
      <c r="B12" s="194"/>
      <c r="C12" s="206"/>
      <c r="D12" s="195"/>
      <c r="E12" s="195"/>
      <c r="F12" s="196"/>
      <c r="G12" s="593"/>
      <c r="H12" s="213"/>
      <c r="I12" s="759"/>
      <c r="J12" s="760"/>
      <c r="K12" s="760"/>
      <c r="L12" s="761"/>
      <c r="M12" s="760"/>
      <c r="N12" s="762"/>
      <c r="O12" s="219"/>
      <c r="P12" s="214"/>
      <c r="Q12" s="207"/>
      <c r="R12" s="53"/>
    </row>
    <row r="13" spans="1:18" s="23" customFormat="1" ht="24" customHeight="1">
      <c r="A13" s="211"/>
      <c r="B13" s="194"/>
      <c r="C13" s="206"/>
      <c r="D13" s="195"/>
      <c r="E13" s="195"/>
      <c r="F13" s="196"/>
      <c r="G13" s="593"/>
      <c r="H13" s="213"/>
      <c r="I13" s="759"/>
      <c r="J13" s="760"/>
      <c r="K13" s="760"/>
      <c r="L13" s="761"/>
      <c r="M13" s="760"/>
      <c r="N13" s="762"/>
      <c r="O13" s="219"/>
      <c r="P13" s="214"/>
      <c r="Q13" s="207"/>
      <c r="R13" s="53"/>
    </row>
    <row r="14" spans="1:18" s="23" customFormat="1" ht="24" customHeight="1">
      <c r="A14" s="211"/>
      <c r="B14" s="194"/>
      <c r="C14" s="206"/>
      <c r="D14" s="195"/>
      <c r="E14" s="195"/>
      <c r="F14" s="196"/>
      <c r="G14" s="593"/>
      <c r="H14" s="213"/>
      <c r="I14" s="759"/>
      <c r="J14" s="760"/>
      <c r="K14" s="760"/>
      <c r="L14" s="761"/>
      <c r="M14" s="760"/>
      <c r="N14" s="762"/>
      <c r="O14" s="219"/>
      <c r="P14" s="214"/>
      <c r="Q14" s="207"/>
      <c r="R14" s="53"/>
    </row>
    <row r="15" spans="1:18" s="23" customFormat="1" ht="24" customHeight="1">
      <c r="A15" s="211"/>
      <c r="B15" s="194"/>
      <c r="C15" s="206"/>
      <c r="D15" s="195"/>
      <c r="E15" s="195"/>
      <c r="F15" s="196"/>
      <c r="G15" s="593"/>
      <c r="H15" s="213"/>
      <c r="I15" s="759"/>
      <c r="J15" s="760"/>
      <c r="K15" s="760"/>
      <c r="L15" s="761"/>
      <c r="M15" s="760"/>
      <c r="N15" s="762"/>
      <c r="O15" s="219"/>
      <c r="P15" s="214"/>
      <c r="Q15" s="207"/>
      <c r="R15" s="53"/>
    </row>
    <row r="16" spans="1:18" s="23" customFormat="1" ht="24" customHeight="1">
      <c r="A16" s="211"/>
      <c r="B16" s="194"/>
      <c r="C16" s="206"/>
      <c r="D16" s="195"/>
      <c r="E16" s="195"/>
      <c r="F16" s="196"/>
      <c r="G16" s="593"/>
      <c r="H16" s="213"/>
      <c r="I16" s="594"/>
      <c r="J16" s="219"/>
      <c r="K16" s="219"/>
      <c r="L16" s="214"/>
      <c r="M16" s="219"/>
      <c r="N16" s="593"/>
      <c r="O16" s="219"/>
      <c r="P16" s="214"/>
      <c r="Q16" s="207"/>
      <c r="R16" s="53"/>
    </row>
    <row r="17" spans="1:18" s="23" customFormat="1" ht="24" customHeight="1">
      <c r="A17" s="211"/>
      <c r="B17" s="194"/>
      <c r="C17" s="206"/>
      <c r="D17" s="195"/>
      <c r="E17" s="195"/>
      <c r="F17" s="196"/>
      <c r="G17" s="593"/>
      <c r="H17" s="213"/>
      <c r="I17" s="594"/>
      <c r="J17" s="219"/>
      <c r="K17" s="219"/>
      <c r="L17" s="214"/>
      <c r="M17" s="219"/>
      <c r="N17" s="593"/>
      <c r="O17" s="219"/>
      <c r="P17" s="214"/>
      <c r="Q17" s="207"/>
      <c r="R17" s="53"/>
    </row>
    <row r="18" spans="1:18" s="23" customFormat="1" ht="24" customHeight="1">
      <c r="A18" s="211"/>
      <c r="B18" s="194"/>
      <c r="C18" s="206"/>
      <c r="D18" s="195"/>
      <c r="E18" s="195"/>
      <c r="F18" s="196"/>
      <c r="G18" s="593"/>
      <c r="H18" s="213"/>
      <c r="I18" s="594"/>
      <c r="J18" s="219"/>
      <c r="K18" s="219"/>
      <c r="L18" s="214"/>
      <c r="M18" s="219"/>
      <c r="N18" s="593"/>
      <c r="O18" s="219"/>
      <c r="P18" s="214"/>
      <c r="Q18" s="207"/>
      <c r="R18" s="53"/>
    </row>
    <row r="19" spans="1:18" s="23" customFormat="1" ht="24" customHeight="1">
      <c r="A19" s="211"/>
      <c r="B19" s="194"/>
      <c r="C19" s="206"/>
      <c r="D19" s="195"/>
      <c r="E19" s="195"/>
      <c r="F19" s="196"/>
      <c r="G19" s="593"/>
      <c r="H19" s="213"/>
      <c r="I19" s="594"/>
      <c r="J19" s="219"/>
      <c r="K19" s="219"/>
      <c r="L19" s="214"/>
      <c r="M19" s="219"/>
      <c r="N19" s="593"/>
      <c r="O19" s="219"/>
      <c r="P19" s="214"/>
      <c r="Q19" s="207"/>
      <c r="R19" s="53"/>
    </row>
    <row r="20" spans="1:18" s="23" customFormat="1" ht="24" customHeight="1">
      <c r="A20" s="211"/>
      <c r="B20" s="194"/>
      <c r="C20" s="206"/>
      <c r="D20" s="195"/>
      <c r="E20" s="195"/>
      <c r="F20" s="196"/>
      <c r="G20" s="593"/>
      <c r="H20" s="213"/>
      <c r="I20" s="594"/>
      <c r="J20" s="219"/>
      <c r="K20" s="219"/>
      <c r="L20" s="214"/>
      <c r="M20" s="219"/>
      <c r="N20" s="593"/>
      <c r="O20" s="219"/>
      <c r="P20" s="214"/>
      <c r="Q20" s="207"/>
      <c r="R20" s="53"/>
    </row>
    <row r="21" spans="1:18" s="23" customFormat="1" ht="24" customHeight="1">
      <c r="A21" s="211"/>
      <c r="B21" s="194"/>
      <c r="C21" s="206"/>
      <c r="D21" s="195"/>
      <c r="E21" s="195"/>
      <c r="F21" s="196"/>
      <c r="G21" s="593"/>
      <c r="H21" s="213"/>
      <c r="I21" s="594"/>
      <c r="J21" s="219"/>
      <c r="K21" s="219"/>
      <c r="L21" s="214"/>
      <c r="M21" s="219"/>
      <c r="N21" s="593"/>
      <c r="O21" s="219"/>
      <c r="P21" s="214"/>
      <c r="Q21" s="207"/>
      <c r="R21" s="53"/>
    </row>
    <row r="22" spans="1:18" s="23" customFormat="1" ht="24" customHeight="1">
      <c r="A22" s="211"/>
      <c r="B22" s="194"/>
      <c r="C22" s="206"/>
      <c r="D22" s="195"/>
      <c r="E22" s="195"/>
      <c r="F22" s="196"/>
      <c r="G22" s="593"/>
      <c r="H22" s="213"/>
      <c r="I22" s="594"/>
      <c r="J22" s="219"/>
      <c r="K22" s="219"/>
      <c r="L22" s="214"/>
      <c r="M22" s="219"/>
      <c r="N22" s="593"/>
      <c r="O22" s="219"/>
      <c r="P22" s="214"/>
      <c r="Q22" s="207"/>
      <c r="R22" s="53"/>
    </row>
    <row r="23" spans="1:18" s="23" customFormat="1" ht="24" customHeight="1">
      <c r="A23" s="211"/>
      <c r="B23" s="194"/>
      <c r="C23" s="206"/>
      <c r="D23" s="195"/>
      <c r="E23" s="195"/>
      <c r="F23" s="196"/>
      <c r="G23" s="593"/>
      <c r="H23" s="213"/>
      <c r="I23" s="594"/>
      <c r="J23" s="219"/>
      <c r="K23" s="219"/>
      <c r="L23" s="214"/>
      <c r="M23" s="219"/>
      <c r="N23" s="593"/>
      <c r="O23" s="219"/>
      <c r="P23" s="214"/>
      <c r="Q23" s="207"/>
      <c r="R23" s="53"/>
    </row>
    <row r="24" spans="1:18" s="23" customFormat="1" ht="24" customHeight="1">
      <c r="A24" s="211"/>
      <c r="B24" s="194"/>
      <c r="C24" s="206"/>
      <c r="D24" s="195"/>
      <c r="E24" s="195"/>
      <c r="F24" s="196"/>
      <c r="G24" s="593"/>
      <c r="H24" s="213"/>
      <c r="I24" s="594"/>
      <c r="J24" s="219"/>
      <c r="K24" s="219"/>
      <c r="L24" s="214"/>
      <c r="M24" s="219"/>
      <c r="N24" s="593"/>
      <c r="O24" s="219"/>
      <c r="P24" s="214"/>
      <c r="Q24" s="207"/>
      <c r="R24" s="53"/>
    </row>
    <row r="25" spans="1:18" s="23" customFormat="1" ht="24" customHeight="1">
      <c r="A25" s="211"/>
      <c r="B25" s="194"/>
      <c r="C25" s="206"/>
      <c r="D25" s="195"/>
      <c r="E25" s="195"/>
      <c r="F25" s="196"/>
      <c r="G25" s="593"/>
      <c r="H25" s="213"/>
      <c r="I25" s="594"/>
      <c r="J25" s="219"/>
      <c r="K25" s="219"/>
      <c r="L25" s="214"/>
      <c r="M25" s="219"/>
      <c r="N25" s="593"/>
      <c r="O25" s="219"/>
      <c r="P25" s="214"/>
      <c r="Q25" s="207"/>
      <c r="R25" s="53"/>
    </row>
    <row r="26" spans="1:18" s="23" customFormat="1" ht="24" customHeight="1">
      <c r="A26" s="211"/>
      <c r="B26" s="194"/>
      <c r="C26" s="206"/>
      <c r="D26" s="195"/>
      <c r="E26" s="195"/>
      <c r="F26" s="196"/>
      <c r="G26" s="593"/>
      <c r="H26" s="213"/>
      <c r="I26" s="594"/>
      <c r="J26" s="219"/>
      <c r="K26" s="219"/>
      <c r="L26" s="214"/>
      <c r="M26" s="219"/>
      <c r="N26" s="593"/>
      <c r="O26" s="219"/>
      <c r="P26" s="214"/>
      <c r="Q26" s="207"/>
      <c r="R26" s="53"/>
    </row>
    <row r="27" spans="1:18" s="23" customFormat="1" ht="24" customHeight="1">
      <c r="A27" s="211"/>
      <c r="B27" s="194"/>
      <c r="C27" s="206"/>
      <c r="D27" s="195"/>
      <c r="E27" s="195"/>
      <c r="F27" s="196"/>
      <c r="G27" s="593"/>
      <c r="H27" s="213"/>
      <c r="I27" s="594"/>
      <c r="J27" s="219"/>
      <c r="K27" s="219"/>
      <c r="L27" s="214"/>
      <c r="M27" s="219"/>
      <c r="N27" s="593"/>
      <c r="O27" s="219"/>
      <c r="P27" s="214"/>
      <c r="Q27" s="207"/>
      <c r="R27" s="53"/>
    </row>
    <row r="28" spans="1:18" s="23" customFormat="1" ht="24" customHeight="1">
      <c r="A28" s="211"/>
      <c r="B28" s="194"/>
      <c r="C28" s="206"/>
      <c r="D28" s="195"/>
      <c r="E28" s="195"/>
      <c r="F28" s="196"/>
      <c r="G28" s="593"/>
      <c r="H28" s="213"/>
      <c r="I28" s="594"/>
      <c r="J28" s="219"/>
      <c r="K28" s="219"/>
      <c r="L28" s="214"/>
      <c r="M28" s="219"/>
      <c r="N28" s="593"/>
      <c r="O28" s="219"/>
      <c r="P28" s="214"/>
      <c r="Q28" s="207"/>
      <c r="R28" s="53"/>
    </row>
    <row r="29" spans="1:18" s="23" customFormat="1" ht="24" customHeight="1">
      <c r="A29" s="211"/>
      <c r="B29" s="194"/>
      <c r="C29" s="206"/>
      <c r="D29" s="195"/>
      <c r="E29" s="195"/>
      <c r="F29" s="196"/>
      <c r="G29" s="593"/>
      <c r="H29" s="213"/>
      <c r="I29" s="594"/>
      <c r="J29" s="219"/>
      <c r="K29" s="219"/>
      <c r="L29" s="214"/>
      <c r="M29" s="219"/>
      <c r="N29" s="593"/>
      <c r="O29" s="219"/>
      <c r="P29" s="214"/>
      <c r="Q29" s="207"/>
      <c r="R29" s="53"/>
    </row>
    <row r="30" spans="1:18" s="23" customFormat="1" ht="24" customHeight="1">
      <c r="A30" s="211"/>
      <c r="B30" s="194"/>
      <c r="C30" s="206"/>
      <c r="D30" s="195"/>
      <c r="E30" s="195"/>
      <c r="F30" s="196"/>
      <c r="G30" s="593"/>
      <c r="H30" s="213"/>
      <c r="I30" s="594"/>
      <c r="J30" s="219"/>
      <c r="K30" s="219"/>
      <c r="L30" s="214"/>
      <c r="M30" s="219"/>
      <c r="N30" s="593"/>
      <c r="O30" s="219"/>
      <c r="P30" s="214"/>
      <c r="Q30" s="207"/>
      <c r="R30" s="53"/>
    </row>
    <row r="31" spans="1:18" s="23" customFormat="1" ht="24" customHeight="1">
      <c r="A31" s="211"/>
      <c r="B31" s="194"/>
      <c r="C31" s="206"/>
      <c r="D31" s="195"/>
      <c r="E31" s="195"/>
      <c r="F31" s="196"/>
      <c r="G31" s="593"/>
      <c r="H31" s="213"/>
      <c r="I31" s="594"/>
      <c r="J31" s="219"/>
      <c r="K31" s="219"/>
      <c r="L31" s="214"/>
      <c r="M31" s="219"/>
      <c r="N31" s="593"/>
      <c r="O31" s="219"/>
      <c r="P31" s="214"/>
      <c r="Q31" s="207"/>
      <c r="R31" s="53"/>
    </row>
    <row r="32" spans="1:18" s="23" customFormat="1" ht="24" customHeight="1">
      <c r="A32" s="211"/>
      <c r="B32" s="194"/>
      <c r="C32" s="206"/>
      <c r="D32" s="195"/>
      <c r="E32" s="195"/>
      <c r="F32" s="196"/>
      <c r="G32" s="593"/>
      <c r="H32" s="213"/>
      <c r="I32" s="594"/>
      <c r="J32" s="219"/>
      <c r="K32" s="219"/>
      <c r="L32" s="214"/>
      <c r="M32" s="219"/>
      <c r="N32" s="593"/>
      <c r="O32" s="219"/>
      <c r="P32" s="214"/>
      <c r="Q32" s="207"/>
      <c r="R32" s="53"/>
    </row>
    <row r="33" spans="1:18" s="23" customFormat="1" ht="24" customHeight="1">
      <c r="A33" s="211"/>
      <c r="B33" s="194"/>
      <c r="C33" s="206"/>
      <c r="D33" s="195"/>
      <c r="E33" s="195"/>
      <c r="F33" s="196"/>
      <c r="G33" s="593"/>
      <c r="H33" s="213"/>
      <c r="I33" s="594"/>
      <c r="J33" s="219"/>
      <c r="K33" s="219"/>
      <c r="L33" s="214"/>
      <c r="M33" s="219"/>
      <c r="N33" s="593"/>
      <c r="O33" s="219"/>
      <c r="P33" s="214"/>
      <c r="Q33" s="207"/>
      <c r="R33" s="53"/>
    </row>
    <row r="34" spans="1:18" s="23" customFormat="1" ht="24" customHeight="1">
      <c r="A34" s="211"/>
      <c r="B34" s="194"/>
      <c r="C34" s="206"/>
      <c r="D34" s="195"/>
      <c r="E34" s="195"/>
      <c r="F34" s="196"/>
      <c r="G34" s="593"/>
      <c r="H34" s="213"/>
      <c r="I34" s="594"/>
      <c r="J34" s="219"/>
      <c r="K34" s="219"/>
      <c r="L34" s="214"/>
      <c r="M34" s="219"/>
      <c r="N34" s="593"/>
      <c r="O34" s="219"/>
      <c r="P34" s="214"/>
      <c r="Q34" s="207"/>
      <c r="R34" s="53"/>
    </row>
    <row r="35" spans="1:18" s="23" customFormat="1" ht="24" customHeight="1">
      <c r="A35" s="211"/>
      <c r="B35" s="194"/>
      <c r="C35" s="206">
        <f>IF(ISBLANK(A35),"",IF(ISBLANK(VLOOKUP(A35,'整地工'!A$10:D$73,4)),"",VLOOKUP(A35,'整地工'!A$10:D$73,4)))</f>
      </c>
      <c r="D35" s="195">
        <f aca="true" t="shared" si="0" ref="D35:D67">IF(E35*1&gt;0,"-","")</f>
      </c>
      <c r="E35" s="195">
        <f>IF(ISBLANK(A35),"",IF(ISBLANK(VLOOKUP(A35,'整地工'!A$10:F$73,6)),"",VLOOKUP(A35,'整地工'!A$10:F$73,6)))</f>
      </c>
      <c r="F35" s="196">
        <f>IF(ISBLANK(A35),"",IF(ISBLANK(VLOOKUP(A35,'整地工'!A$10:G$73,7)),"",VLOOKUP(A35,'整地工'!A$10:G$73,7)))</f>
      </c>
      <c r="G35" s="593"/>
      <c r="H35" s="213">
        <f aca="true" t="shared" si="1" ref="H35:H67">IF(G35=1,1.4,IF(G35=1.2,1.6,IF(G35=1.5,1.8,"")))</f>
      </c>
      <c r="I35" s="594"/>
      <c r="J35" s="219"/>
      <c r="K35" s="219"/>
      <c r="L35" s="214">
        <f aca="true" t="shared" si="2" ref="L35:L67">IF(G35="","",ROUND((I35-J35)/K35,3))</f>
      </c>
      <c r="M35" s="219"/>
      <c r="N35" s="593"/>
      <c r="O35" s="219">
        <f aca="true" t="shared" si="3" ref="O35:O67">IF(ISBLANK(K35),"",ROUND(F35/K35,0))</f>
      </c>
      <c r="P35" s="214">
        <f aca="true" t="shared" si="4" ref="P35:P67">IF(G35="","",ROUND((M35-N35)/O35,3))</f>
      </c>
      <c r="Q35" s="207">
        <f aca="true" t="shared" si="5" ref="Q35:Q67">IF(G35="","",ROUND((L35+P35)*F35*H35,0))</f>
      </c>
      <c r="R35" s="53"/>
    </row>
    <row r="36" spans="1:18" s="23" customFormat="1" ht="24" customHeight="1">
      <c r="A36" s="211"/>
      <c r="B36" s="194"/>
      <c r="C36" s="206">
        <f>IF(ISBLANK(A36),"",IF(ISBLANK(VLOOKUP(A36,'整地工'!A$10:D$73,4)),"",VLOOKUP(A36,'整地工'!A$10:D$73,4)))</f>
      </c>
      <c r="D36" s="195">
        <f t="shared" si="0"/>
      </c>
      <c r="E36" s="195">
        <f>IF(ISBLANK(A36),"",IF(ISBLANK(VLOOKUP(A36,'整地工'!A$10:F$73,6)),"",VLOOKUP(A36,'整地工'!A$10:F$73,6)))</f>
      </c>
      <c r="F36" s="196">
        <f>IF(ISBLANK(A36),"",IF(ISBLANK(VLOOKUP(A36,'整地工'!A$10:G$73,7)),"",VLOOKUP(A36,'整地工'!A$10:G$73,7)))</f>
      </c>
      <c r="G36" s="593"/>
      <c r="H36" s="213">
        <f t="shared" si="1"/>
      </c>
      <c r="I36" s="594"/>
      <c r="J36" s="219"/>
      <c r="K36" s="219"/>
      <c r="L36" s="214">
        <f t="shared" si="2"/>
      </c>
      <c r="M36" s="219"/>
      <c r="N36" s="593"/>
      <c r="O36" s="219">
        <f t="shared" si="3"/>
      </c>
      <c r="P36" s="214">
        <f t="shared" si="4"/>
      </c>
      <c r="Q36" s="207">
        <f t="shared" si="5"/>
      </c>
      <c r="R36" s="53"/>
    </row>
    <row r="37" spans="1:18" s="23" customFormat="1" ht="24" customHeight="1">
      <c r="A37" s="211"/>
      <c r="B37" s="194"/>
      <c r="C37" s="206">
        <f>IF(ISBLANK(A37),"",IF(ISBLANK(VLOOKUP(A37,'整地工'!A$10:D$73,4)),"",VLOOKUP(A37,'整地工'!A$10:D$73,4)))</f>
      </c>
      <c r="D37" s="195">
        <f t="shared" si="0"/>
      </c>
      <c r="E37" s="195">
        <f>IF(ISBLANK(A37),"",IF(ISBLANK(VLOOKUP(A37,'整地工'!A$10:F$73,6)),"",VLOOKUP(A37,'整地工'!A$10:F$73,6)))</f>
      </c>
      <c r="F37" s="196">
        <f>IF(ISBLANK(A37),"",IF(ISBLANK(VLOOKUP(A37,'整地工'!A$10:G$73,7)),"",VLOOKUP(A37,'整地工'!A$10:G$73,7)))</f>
      </c>
      <c r="G37" s="593"/>
      <c r="H37" s="213">
        <f t="shared" si="1"/>
      </c>
      <c r="I37" s="594"/>
      <c r="J37" s="219"/>
      <c r="K37" s="219"/>
      <c r="L37" s="214">
        <f t="shared" si="2"/>
      </c>
      <c r="M37" s="219"/>
      <c r="N37" s="593"/>
      <c r="O37" s="219">
        <f t="shared" si="3"/>
      </c>
      <c r="P37" s="214">
        <f t="shared" si="4"/>
      </c>
      <c r="Q37" s="207">
        <f t="shared" si="5"/>
      </c>
      <c r="R37" s="53"/>
    </row>
    <row r="38" spans="1:18" s="23" customFormat="1" ht="24" customHeight="1">
      <c r="A38" s="211"/>
      <c r="B38" s="194">
        <f>IF(ISBLANK(A38),"",IF(ISBLANK(VLOOKUP(A38,'整地工'!A$10:B$73,2)),"",VLOOKUP(A38,'整地工'!A$10:B$73,2)))</f>
      </c>
      <c r="C38" s="206">
        <f>IF(ISBLANK(A38),"",IF(ISBLANK(VLOOKUP(A38,'整地工'!A$10:D$73,4)),"",VLOOKUP(A38,'整地工'!A$10:D$73,4)))</f>
      </c>
      <c r="D38" s="195">
        <f t="shared" si="0"/>
      </c>
      <c r="E38" s="195">
        <f>IF(ISBLANK(A38),"",IF(ISBLANK(VLOOKUP(A38,'整地工'!A$10:F$73,6)),"",VLOOKUP(A38,'整地工'!A$10:F$73,6)))</f>
      </c>
      <c r="F38" s="196">
        <f>IF(ISBLANK(A38),"",IF(ISBLANK(VLOOKUP(A38,'整地工'!A$10:G$73,7)),"",VLOOKUP(A38,'整地工'!A$10:G$73,7)))</f>
      </c>
      <c r="G38" s="593"/>
      <c r="H38" s="213">
        <f t="shared" si="1"/>
      </c>
      <c r="I38" s="594"/>
      <c r="J38" s="219"/>
      <c r="K38" s="219"/>
      <c r="L38" s="214">
        <f t="shared" si="2"/>
      </c>
      <c r="M38" s="219"/>
      <c r="N38" s="593"/>
      <c r="O38" s="219">
        <f t="shared" si="3"/>
      </c>
      <c r="P38" s="214">
        <f t="shared" si="4"/>
      </c>
      <c r="Q38" s="207">
        <f t="shared" si="5"/>
      </c>
      <c r="R38" s="53"/>
    </row>
    <row r="39" spans="1:18" s="23" customFormat="1" ht="24" customHeight="1">
      <c r="A39" s="211"/>
      <c r="B39" s="194">
        <f>IF(ISBLANK(A39),"",IF(ISBLANK(VLOOKUP(A39,'整地工'!A$10:B$73,2)),"",VLOOKUP(A39,'整地工'!A$10:B$73,2)))</f>
      </c>
      <c r="C39" s="206">
        <f>IF(ISBLANK(A39),"",IF(ISBLANK(VLOOKUP(A39,'整地工'!A$10:D$73,4)),"",VLOOKUP(A39,'整地工'!A$10:D$73,4)))</f>
      </c>
      <c r="D39" s="195">
        <f t="shared" si="0"/>
      </c>
      <c r="E39" s="195">
        <f>IF(ISBLANK(A39),"",IF(ISBLANK(VLOOKUP(A39,'整地工'!A$10:F$73,6)),"",VLOOKUP(A39,'整地工'!A$10:F$73,6)))</f>
      </c>
      <c r="F39" s="196">
        <f>IF(ISBLANK(A39),"",IF(ISBLANK(VLOOKUP(A39,'整地工'!A$10:G$73,7)),"",VLOOKUP(A39,'整地工'!A$10:G$73,7)))</f>
      </c>
      <c r="G39" s="593"/>
      <c r="H39" s="213">
        <f t="shared" si="1"/>
      </c>
      <c r="I39" s="594"/>
      <c r="J39" s="219"/>
      <c r="K39" s="219"/>
      <c r="L39" s="214">
        <f t="shared" si="2"/>
      </c>
      <c r="M39" s="219"/>
      <c r="N39" s="593"/>
      <c r="O39" s="219">
        <f t="shared" si="3"/>
      </c>
      <c r="P39" s="214">
        <f t="shared" si="4"/>
      </c>
      <c r="Q39" s="207">
        <f t="shared" si="5"/>
      </c>
      <c r="R39" s="53"/>
    </row>
    <row r="40" spans="1:18" s="23" customFormat="1" ht="24" customHeight="1">
      <c r="A40" s="211"/>
      <c r="B40" s="194">
        <f>IF(ISBLANK(A40),"",IF(ISBLANK(VLOOKUP(A40,'整地工'!A$10:B$73,2)),"",VLOOKUP(A40,'整地工'!A$10:B$73,2)))</f>
      </c>
      <c r="C40" s="206">
        <f>IF(ISBLANK(A40),"",IF(ISBLANK(VLOOKUP(A40,'整地工'!A$10:D$73,4)),"",VLOOKUP(A40,'整地工'!A$10:D$73,4)))</f>
      </c>
      <c r="D40" s="195">
        <f t="shared" si="0"/>
      </c>
      <c r="E40" s="195">
        <f>IF(ISBLANK(A40),"",IF(ISBLANK(VLOOKUP(A40,'整地工'!A$10:F$73,6)),"",VLOOKUP(A40,'整地工'!A$10:F$73,6)))</f>
      </c>
      <c r="F40" s="196">
        <f>IF(ISBLANK(A40),"",IF(ISBLANK(VLOOKUP(A40,'整地工'!A$10:G$73,7)),"",VLOOKUP(A40,'整地工'!A$10:G$73,7)))</f>
      </c>
      <c r="G40" s="593"/>
      <c r="H40" s="213">
        <f t="shared" si="1"/>
      </c>
      <c r="I40" s="594"/>
      <c r="J40" s="219"/>
      <c r="K40" s="219"/>
      <c r="L40" s="214">
        <f t="shared" si="2"/>
      </c>
      <c r="M40" s="219"/>
      <c r="N40" s="593"/>
      <c r="O40" s="219">
        <f t="shared" si="3"/>
      </c>
      <c r="P40" s="214">
        <f t="shared" si="4"/>
      </c>
      <c r="Q40" s="207">
        <f t="shared" si="5"/>
      </c>
      <c r="R40" s="53"/>
    </row>
    <row r="41" spans="1:18" s="23" customFormat="1" ht="24" customHeight="1">
      <c r="A41" s="211"/>
      <c r="B41" s="194">
        <f>IF(ISBLANK(A41),"",IF(ISBLANK(VLOOKUP(A41,'整地工'!A$10:B$73,2)),"",VLOOKUP(A41,'整地工'!A$10:B$73,2)))</f>
      </c>
      <c r="C41" s="206">
        <f>IF(ISBLANK(A41),"",IF(ISBLANK(VLOOKUP(A41,'整地工'!A$10:D$73,4)),"",VLOOKUP(A41,'整地工'!A$10:D$73,4)))</f>
      </c>
      <c r="D41" s="195">
        <f t="shared" si="0"/>
      </c>
      <c r="E41" s="195">
        <f>IF(ISBLANK(A41),"",IF(ISBLANK(VLOOKUP(A41,'整地工'!A$10:F$73,6)),"",VLOOKUP(A41,'整地工'!A$10:F$73,6)))</f>
      </c>
      <c r="F41" s="196">
        <f>IF(ISBLANK(A41),"",IF(ISBLANK(VLOOKUP(A41,'整地工'!A$10:G$73,7)),"",VLOOKUP(A41,'整地工'!A$10:G$73,7)))</f>
      </c>
      <c r="G41" s="593"/>
      <c r="H41" s="213">
        <f t="shared" si="1"/>
      </c>
      <c r="I41" s="594"/>
      <c r="J41" s="219"/>
      <c r="K41" s="219"/>
      <c r="L41" s="214">
        <f t="shared" si="2"/>
      </c>
      <c r="M41" s="219"/>
      <c r="N41" s="593"/>
      <c r="O41" s="219">
        <f t="shared" si="3"/>
      </c>
      <c r="P41" s="214">
        <f t="shared" si="4"/>
      </c>
      <c r="Q41" s="207">
        <f t="shared" si="5"/>
      </c>
      <c r="R41" s="53"/>
    </row>
    <row r="42" spans="1:18" s="23" customFormat="1" ht="24" customHeight="1">
      <c r="A42" s="211"/>
      <c r="B42" s="194">
        <f>IF(ISBLANK(A42),"",IF(ISBLANK(VLOOKUP(A42,'整地工'!A$10:B$73,2)),"",VLOOKUP(A42,'整地工'!A$10:B$73,2)))</f>
      </c>
      <c r="C42" s="206">
        <f>IF(ISBLANK(A42),"",IF(ISBLANK(VLOOKUP(A42,'整地工'!A$10:D$73,4)),"",VLOOKUP(A42,'整地工'!A$10:D$73,4)))</f>
      </c>
      <c r="D42" s="195">
        <f t="shared" si="0"/>
      </c>
      <c r="E42" s="195">
        <f>IF(ISBLANK(A42),"",IF(ISBLANK(VLOOKUP(A42,'整地工'!A$10:F$73,6)),"",VLOOKUP(A42,'整地工'!A$10:F$73,6)))</f>
      </c>
      <c r="F42" s="196">
        <f>IF(ISBLANK(A42),"",IF(ISBLANK(VLOOKUP(A42,'整地工'!A$10:G$73,7)),"",VLOOKUP(A42,'整地工'!A$10:G$73,7)))</f>
      </c>
      <c r="G42" s="593"/>
      <c r="H42" s="213">
        <f t="shared" si="1"/>
      </c>
      <c r="I42" s="594"/>
      <c r="J42" s="219"/>
      <c r="K42" s="219"/>
      <c r="L42" s="214">
        <f t="shared" si="2"/>
      </c>
      <c r="M42" s="219"/>
      <c r="N42" s="593"/>
      <c r="O42" s="219">
        <f t="shared" si="3"/>
      </c>
      <c r="P42" s="214">
        <f t="shared" si="4"/>
      </c>
      <c r="Q42" s="207">
        <f t="shared" si="5"/>
      </c>
      <c r="R42" s="53"/>
    </row>
    <row r="43" spans="1:18" s="23" customFormat="1" ht="24" customHeight="1">
      <c r="A43" s="211"/>
      <c r="B43" s="194">
        <f>IF(ISBLANK(A43),"",IF(ISBLANK(VLOOKUP(A43,'整地工'!A$10:B$73,2)),"",VLOOKUP(A43,'整地工'!A$10:B$73,2)))</f>
      </c>
      <c r="C43" s="206">
        <f>IF(ISBLANK(A43),"",IF(ISBLANK(VLOOKUP(A43,'整地工'!A$10:D$73,4)),"",VLOOKUP(A43,'整地工'!A$10:D$73,4)))</f>
      </c>
      <c r="D43" s="195">
        <f t="shared" si="0"/>
      </c>
      <c r="E43" s="195">
        <f>IF(ISBLANK(A43),"",IF(ISBLANK(VLOOKUP(A43,'整地工'!A$10:F$73,6)),"",VLOOKUP(A43,'整地工'!A$10:F$73,6)))</f>
      </c>
      <c r="F43" s="196">
        <f>IF(ISBLANK(A43),"",IF(ISBLANK(VLOOKUP(A43,'整地工'!A$10:G$73,7)),"",VLOOKUP(A43,'整地工'!A$10:G$73,7)))</f>
      </c>
      <c r="G43" s="593"/>
      <c r="H43" s="213">
        <f t="shared" si="1"/>
      </c>
      <c r="I43" s="594"/>
      <c r="J43" s="219"/>
      <c r="K43" s="219"/>
      <c r="L43" s="214">
        <f t="shared" si="2"/>
      </c>
      <c r="M43" s="219"/>
      <c r="N43" s="593"/>
      <c r="O43" s="219">
        <f t="shared" si="3"/>
      </c>
      <c r="P43" s="214">
        <f t="shared" si="4"/>
      </c>
      <c r="Q43" s="207">
        <f t="shared" si="5"/>
      </c>
      <c r="R43" s="53"/>
    </row>
    <row r="44" spans="1:18" s="23" customFormat="1" ht="24" customHeight="1">
      <c r="A44" s="211"/>
      <c r="B44" s="194">
        <f>IF(ISBLANK(A44),"",IF(ISBLANK(VLOOKUP(A44,'整地工'!A$10:B$73,2)),"",VLOOKUP(A44,'整地工'!A$10:B$73,2)))</f>
      </c>
      <c r="C44" s="206">
        <f>IF(ISBLANK(A44),"",IF(ISBLANK(VLOOKUP(A44,'整地工'!A$10:D$73,4)),"",VLOOKUP(A44,'整地工'!A$10:D$73,4)))</f>
      </c>
      <c r="D44" s="195">
        <f t="shared" si="0"/>
      </c>
      <c r="E44" s="195">
        <f>IF(ISBLANK(A44),"",IF(ISBLANK(VLOOKUP(A44,'整地工'!A$10:F$73,6)),"",VLOOKUP(A44,'整地工'!A$10:F$73,6)))</f>
      </c>
      <c r="F44" s="196">
        <f>IF(ISBLANK(A44),"",IF(ISBLANK(VLOOKUP(A44,'整地工'!A$10:G$73,7)),"",VLOOKUP(A44,'整地工'!A$10:G$73,7)))</f>
      </c>
      <c r="G44" s="593"/>
      <c r="H44" s="213">
        <f t="shared" si="1"/>
      </c>
      <c r="I44" s="594"/>
      <c r="J44" s="219"/>
      <c r="K44" s="219"/>
      <c r="L44" s="214">
        <f t="shared" si="2"/>
      </c>
      <c r="M44" s="219"/>
      <c r="N44" s="593"/>
      <c r="O44" s="219">
        <f t="shared" si="3"/>
      </c>
      <c r="P44" s="214">
        <f t="shared" si="4"/>
      </c>
      <c r="Q44" s="207">
        <f t="shared" si="5"/>
      </c>
      <c r="R44" s="53"/>
    </row>
    <row r="45" spans="1:18" s="23" customFormat="1" ht="24" customHeight="1">
      <c r="A45" s="211"/>
      <c r="B45" s="194">
        <f>IF(ISBLANK(A45),"",IF(ISBLANK(VLOOKUP(A45,'整地工'!A$10:B$73,2)),"",VLOOKUP(A45,'整地工'!A$10:B$73,2)))</f>
      </c>
      <c r="C45" s="206">
        <f>IF(ISBLANK(A45),"",IF(ISBLANK(VLOOKUP(A45,'整地工'!A$10:D$73,4)),"",VLOOKUP(A45,'整地工'!A$10:D$73,4)))</f>
      </c>
      <c r="D45" s="195">
        <f t="shared" si="0"/>
      </c>
      <c r="E45" s="195">
        <f>IF(ISBLANK(A45),"",IF(ISBLANK(VLOOKUP(A45,'整地工'!A$10:F$73,6)),"",VLOOKUP(A45,'整地工'!A$10:F$73,6)))</f>
      </c>
      <c r="F45" s="196">
        <f>IF(ISBLANK(A45),"",IF(ISBLANK(VLOOKUP(A45,'整地工'!A$10:G$73,7)),"",VLOOKUP(A45,'整地工'!A$10:G$73,7)))</f>
      </c>
      <c r="G45" s="593"/>
      <c r="H45" s="213">
        <f t="shared" si="1"/>
      </c>
      <c r="I45" s="594"/>
      <c r="J45" s="219"/>
      <c r="K45" s="219"/>
      <c r="L45" s="214">
        <f t="shared" si="2"/>
      </c>
      <c r="M45" s="219"/>
      <c r="N45" s="593"/>
      <c r="O45" s="219">
        <f t="shared" si="3"/>
      </c>
      <c r="P45" s="214">
        <f t="shared" si="4"/>
      </c>
      <c r="Q45" s="207">
        <f t="shared" si="5"/>
      </c>
      <c r="R45" s="53"/>
    </row>
    <row r="46" spans="1:18" s="23" customFormat="1" ht="24" customHeight="1">
      <c r="A46" s="211"/>
      <c r="B46" s="194">
        <f>IF(ISBLANK(A46),"",IF(ISBLANK(VLOOKUP(A46,'整地工'!A$10:B$73,2)),"",VLOOKUP(A46,'整地工'!A$10:B$73,2)))</f>
      </c>
      <c r="C46" s="206">
        <f>IF(ISBLANK(A46),"",IF(ISBLANK(VLOOKUP(A46,'整地工'!A$10:D$73,4)),"",VLOOKUP(A46,'整地工'!A$10:D$73,4)))</f>
      </c>
      <c r="D46" s="195">
        <f t="shared" si="0"/>
      </c>
      <c r="E46" s="195">
        <f>IF(ISBLANK(A46),"",IF(ISBLANK(VLOOKUP(A46,'整地工'!A$10:F$73,6)),"",VLOOKUP(A46,'整地工'!A$10:F$73,6)))</f>
      </c>
      <c r="F46" s="196">
        <f>IF(ISBLANK(A46),"",IF(ISBLANK(VLOOKUP(A46,'整地工'!A$10:G$73,7)),"",VLOOKUP(A46,'整地工'!A$10:G$73,7)))</f>
      </c>
      <c r="G46" s="593"/>
      <c r="H46" s="213">
        <f t="shared" si="1"/>
      </c>
      <c r="I46" s="594"/>
      <c r="J46" s="219"/>
      <c r="K46" s="219"/>
      <c r="L46" s="214">
        <f t="shared" si="2"/>
      </c>
      <c r="M46" s="219"/>
      <c r="N46" s="593"/>
      <c r="O46" s="219">
        <f t="shared" si="3"/>
      </c>
      <c r="P46" s="214">
        <f t="shared" si="4"/>
      </c>
      <c r="Q46" s="207">
        <f t="shared" si="5"/>
      </c>
      <c r="R46" s="53"/>
    </row>
    <row r="47" spans="1:18" s="23" customFormat="1" ht="24" customHeight="1">
      <c r="A47" s="211"/>
      <c r="B47" s="194">
        <f>IF(ISBLANK(A47),"",IF(ISBLANK(VLOOKUP(A47,'整地工'!A$10:B$73,2)),"",VLOOKUP(A47,'整地工'!A$10:B$73,2)))</f>
      </c>
      <c r="C47" s="206">
        <f>IF(ISBLANK(A47),"",IF(ISBLANK(VLOOKUP(A47,'整地工'!A$10:D$73,4)),"",VLOOKUP(A47,'整地工'!A$10:D$73,4)))</f>
      </c>
      <c r="D47" s="195">
        <f t="shared" si="0"/>
      </c>
      <c r="E47" s="195">
        <f>IF(ISBLANK(A47),"",IF(ISBLANK(VLOOKUP(A47,'整地工'!A$10:F$73,6)),"",VLOOKUP(A47,'整地工'!A$10:F$73,6)))</f>
      </c>
      <c r="F47" s="196">
        <f>IF(ISBLANK(A47),"",IF(ISBLANK(VLOOKUP(A47,'整地工'!A$10:G$73,7)),"",VLOOKUP(A47,'整地工'!A$10:G$73,7)))</f>
      </c>
      <c r="G47" s="593"/>
      <c r="H47" s="213">
        <f t="shared" si="1"/>
      </c>
      <c r="I47" s="594"/>
      <c r="J47" s="219"/>
      <c r="K47" s="219"/>
      <c r="L47" s="214">
        <f t="shared" si="2"/>
      </c>
      <c r="M47" s="219"/>
      <c r="N47" s="593"/>
      <c r="O47" s="219">
        <f t="shared" si="3"/>
      </c>
      <c r="P47" s="214">
        <f t="shared" si="4"/>
      </c>
      <c r="Q47" s="207">
        <f t="shared" si="5"/>
      </c>
      <c r="R47" s="53"/>
    </row>
    <row r="48" spans="1:18" s="23" customFormat="1" ht="24" customHeight="1">
      <c r="A48" s="211"/>
      <c r="B48" s="194">
        <f>IF(ISBLANK(A48),"",IF(ISBLANK(VLOOKUP(A48,'整地工'!A$10:B$73,2)),"",VLOOKUP(A48,'整地工'!A$10:B$73,2)))</f>
      </c>
      <c r="C48" s="206">
        <f>IF(ISBLANK(A48),"",IF(ISBLANK(VLOOKUP(A48,'整地工'!A$10:D$73,4)),"",VLOOKUP(A48,'整地工'!A$10:D$73,4)))</f>
      </c>
      <c r="D48" s="195">
        <f t="shared" si="0"/>
      </c>
      <c r="E48" s="195">
        <f>IF(ISBLANK(A48),"",IF(ISBLANK(VLOOKUP(A48,'整地工'!A$10:F$73,6)),"",VLOOKUP(A48,'整地工'!A$10:F$73,6)))</f>
      </c>
      <c r="F48" s="196">
        <f>IF(ISBLANK(A48),"",IF(ISBLANK(VLOOKUP(A48,'整地工'!A$10:G$73,7)),"",VLOOKUP(A48,'整地工'!A$10:G$73,7)))</f>
      </c>
      <c r="G48" s="593"/>
      <c r="H48" s="213">
        <f t="shared" si="1"/>
      </c>
      <c r="I48" s="594"/>
      <c r="J48" s="219"/>
      <c r="K48" s="219"/>
      <c r="L48" s="214">
        <f t="shared" si="2"/>
      </c>
      <c r="M48" s="219"/>
      <c r="N48" s="593"/>
      <c r="O48" s="219">
        <f t="shared" si="3"/>
      </c>
      <c r="P48" s="214">
        <f t="shared" si="4"/>
      </c>
      <c r="Q48" s="207">
        <f t="shared" si="5"/>
      </c>
      <c r="R48" s="53"/>
    </row>
    <row r="49" spans="1:18" s="23" customFormat="1" ht="24" customHeight="1">
      <c r="A49" s="211"/>
      <c r="B49" s="194">
        <f>IF(ISBLANK(A49),"",IF(ISBLANK(VLOOKUP(A49,'整地工'!A$10:B$73,2)),"",VLOOKUP(A49,'整地工'!A$10:B$73,2)))</f>
      </c>
      <c r="C49" s="206">
        <f>IF(ISBLANK(A49),"",IF(ISBLANK(VLOOKUP(A49,'整地工'!A$10:D$73,4)),"",VLOOKUP(A49,'整地工'!A$10:D$73,4)))</f>
      </c>
      <c r="D49" s="195">
        <f t="shared" si="0"/>
      </c>
      <c r="E49" s="195">
        <f>IF(ISBLANK(A49),"",IF(ISBLANK(VLOOKUP(A49,'整地工'!A$10:F$73,6)),"",VLOOKUP(A49,'整地工'!A$10:F$73,6)))</f>
      </c>
      <c r="F49" s="196">
        <f>IF(ISBLANK(A49),"",IF(ISBLANK(VLOOKUP(A49,'整地工'!A$10:G$73,7)),"",VLOOKUP(A49,'整地工'!A$10:G$73,7)))</f>
      </c>
      <c r="G49" s="593"/>
      <c r="H49" s="213">
        <f t="shared" si="1"/>
      </c>
      <c r="I49" s="594"/>
      <c r="J49" s="219"/>
      <c r="K49" s="219"/>
      <c r="L49" s="214">
        <f t="shared" si="2"/>
      </c>
      <c r="M49" s="219"/>
      <c r="N49" s="593"/>
      <c r="O49" s="219">
        <f t="shared" si="3"/>
      </c>
      <c r="P49" s="214">
        <f t="shared" si="4"/>
      </c>
      <c r="Q49" s="207">
        <f t="shared" si="5"/>
      </c>
      <c r="R49" s="53"/>
    </row>
    <row r="50" spans="1:18" s="23" customFormat="1" ht="24" customHeight="1">
      <c r="A50" s="211"/>
      <c r="B50" s="194">
        <f>IF(ISBLANK(A50),"",IF(ISBLANK(VLOOKUP(A50,'整地工'!A$10:B$73,2)),"",VLOOKUP(A50,'整地工'!A$10:B$73,2)))</f>
      </c>
      <c r="C50" s="206">
        <f>IF(ISBLANK(A50),"",IF(ISBLANK(VLOOKUP(A50,'整地工'!A$10:D$73,4)),"",VLOOKUP(A50,'整地工'!A$10:D$73,4)))</f>
      </c>
      <c r="D50" s="195">
        <f t="shared" si="0"/>
      </c>
      <c r="E50" s="195">
        <f>IF(ISBLANK(A50),"",IF(ISBLANK(VLOOKUP(A50,'整地工'!A$10:F$73,6)),"",VLOOKUP(A50,'整地工'!A$10:F$73,6)))</f>
      </c>
      <c r="F50" s="196">
        <f>IF(ISBLANK(A50),"",IF(ISBLANK(VLOOKUP(A50,'整地工'!A$10:G$73,7)),"",VLOOKUP(A50,'整地工'!A$10:G$73,7)))</f>
      </c>
      <c r="G50" s="593"/>
      <c r="H50" s="213">
        <f t="shared" si="1"/>
      </c>
      <c r="I50" s="594"/>
      <c r="J50" s="219"/>
      <c r="K50" s="219"/>
      <c r="L50" s="214">
        <f t="shared" si="2"/>
      </c>
      <c r="M50" s="219"/>
      <c r="N50" s="593"/>
      <c r="O50" s="219">
        <f t="shared" si="3"/>
      </c>
      <c r="P50" s="214">
        <f t="shared" si="4"/>
      </c>
      <c r="Q50" s="207">
        <f t="shared" si="5"/>
      </c>
      <c r="R50" s="53"/>
    </row>
    <row r="51" spans="1:18" s="23" customFormat="1" ht="24" customHeight="1">
      <c r="A51" s="211"/>
      <c r="B51" s="194">
        <f>IF(ISBLANK(A51),"",IF(ISBLANK(VLOOKUP(A51,'整地工'!A$10:B$73,2)),"",VLOOKUP(A51,'整地工'!A$10:B$73,2)))</f>
      </c>
      <c r="C51" s="206">
        <f>IF(ISBLANK(A51),"",IF(ISBLANK(VLOOKUP(A51,'整地工'!A$10:D$73,4)),"",VLOOKUP(A51,'整地工'!A$10:D$73,4)))</f>
      </c>
      <c r="D51" s="195">
        <f t="shared" si="0"/>
      </c>
      <c r="E51" s="195">
        <f>IF(ISBLANK(A51),"",IF(ISBLANK(VLOOKUP(A51,'整地工'!A$10:F$73,6)),"",VLOOKUP(A51,'整地工'!A$10:F$73,6)))</f>
      </c>
      <c r="F51" s="196">
        <f>IF(ISBLANK(A51),"",IF(ISBLANK(VLOOKUP(A51,'整地工'!A$10:G$73,7)),"",VLOOKUP(A51,'整地工'!A$10:G$73,7)))</f>
      </c>
      <c r="G51" s="593"/>
      <c r="H51" s="213">
        <f t="shared" si="1"/>
      </c>
      <c r="I51" s="594"/>
      <c r="J51" s="219"/>
      <c r="K51" s="219"/>
      <c r="L51" s="214">
        <f t="shared" si="2"/>
      </c>
      <c r="M51" s="219"/>
      <c r="N51" s="593"/>
      <c r="O51" s="219">
        <f t="shared" si="3"/>
      </c>
      <c r="P51" s="214">
        <f t="shared" si="4"/>
      </c>
      <c r="Q51" s="207">
        <f t="shared" si="5"/>
      </c>
      <c r="R51" s="53"/>
    </row>
    <row r="52" spans="1:18" s="23" customFormat="1" ht="24" customHeight="1">
      <c r="A52" s="211"/>
      <c r="B52" s="194">
        <f>IF(ISBLANK(A52),"",IF(ISBLANK(VLOOKUP(A52,'整地工'!A$10:B$73,2)),"",VLOOKUP(A52,'整地工'!A$10:B$73,2)))</f>
      </c>
      <c r="C52" s="206">
        <f>IF(ISBLANK(A52),"",IF(ISBLANK(VLOOKUP(A52,'整地工'!A$10:D$73,4)),"",VLOOKUP(A52,'整地工'!A$10:D$73,4)))</f>
      </c>
      <c r="D52" s="195">
        <f t="shared" si="0"/>
      </c>
      <c r="E52" s="195">
        <f>IF(ISBLANK(A52),"",IF(ISBLANK(VLOOKUP(A52,'整地工'!A$10:F$73,6)),"",VLOOKUP(A52,'整地工'!A$10:F$73,6)))</f>
      </c>
      <c r="F52" s="196">
        <f>IF(ISBLANK(A52),"",IF(ISBLANK(VLOOKUP(A52,'整地工'!A$10:G$73,7)),"",VLOOKUP(A52,'整地工'!A$10:G$73,7)))</f>
      </c>
      <c r="G52" s="593"/>
      <c r="H52" s="213">
        <f t="shared" si="1"/>
      </c>
      <c r="I52" s="594"/>
      <c r="J52" s="219"/>
      <c r="K52" s="219"/>
      <c r="L52" s="214">
        <f t="shared" si="2"/>
      </c>
      <c r="M52" s="219"/>
      <c r="N52" s="593"/>
      <c r="O52" s="219">
        <f t="shared" si="3"/>
      </c>
      <c r="P52" s="214">
        <f t="shared" si="4"/>
      </c>
      <c r="Q52" s="207">
        <f t="shared" si="5"/>
      </c>
      <c r="R52" s="53"/>
    </row>
    <row r="53" spans="1:18" s="23" customFormat="1" ht="24" customHeight="1">
      <c r="A53" s="211"/>
      <c r="B53" s="194">
        <f>IF(ISBLANK(A53),"",IF(ISBLANK(VLOOKUP(A53,'整地工'!A$10:B$73,2)),"",VLOOKUP(A53,'整地工'!A$10:B$73,2)))</f>
      </c>
      <c r="C53" s="206">
        <f>IF(ISBLANK(A53),"",IF(ISBLANK(VLOOKUP(A53,'整地工'!A$10:D$73,4)),"",VLOOKUP(A53,'整地工'!A$10:D$73,4)))</f>
      </c>
      <c r="D53" s="195">
        <f t="shared" si="0"/>
      </c>
      <c r="E53" s="195">
        <f>IF(ISBLANK(A53),"",IF(ISBLANK(VLOOKUP(A53,'整地工'!A$10:F$73,6)),"",VLOOKUP(A53,'整地工'!A$10:F$73,6)))</f>
      </c>
      <c r="F53" s="196">
        <f>IF(ISBLANK(A53),"",IF(ISBLANK(VLOOKUP(A53,'整地工'!A$10:G$73,7)),"",VLOOKUP(A53,'整地工'!A$10:G$73,7)))</f>
      </c>
      <c r="G53" s="593"/>
      <c r="H53" s="213">
        <f t="shared" si="1"/>
      </c>
      <c r="I53" s="594"/>
      <c r="J53" s="219"/>
      <c r="K53" s="219"/>
      <c r="L53" s="214">
        <f t="shared" si="2"/>
      </c>
      <c r="M53" s="219"/>
      <c r="N53" s="593"/>
      <c r="O53" s="219">
        <f t="shared" si="3"/>
      </c>
      <c r="P53" s="214">
        <f t="shared" si="4"/>
      </c>
      <c r="Q53" s="207">
        <f t="shared" si="5"/>
      </c>
      <c r="R53" s="53"/>
    </row>
    <row r="54" spans="1:18" s="23" customFormat="1" ht="24" customHeight="1">
      <c r="A54" s="211"/>
      <c r="B54" s="194">
        <f>IF(ISBLANK(A54),"",IF(ISBLANK(VLOOKUP(A54,'整地工'!A$10:B$73,2)),"",VLOOKUP(A54,'整地工'!A$10:B$73,2)))</f>
      </c>
      <c r="C54" s="206">
        <f>IF(ISBLANK(A54),"",IF(ISBLANK(VLOOKUP(A54,'整地工'!A$10:D$73,4)),"",VLOOKUP(A54,'整地工'!A$10:D$73,4)))</f>
      </c>
      <c r="D54" s="195">
        <f t="shared" si="0"/>
      </c>
      <c r="E54" s="195">
        <f>IF(ISBLANK(A54),"",IF(ISBLANK(VLOOKUP(A54,'整地工'!A$10:F$73,6)),"",VLOOKUP(A54,'整地工'!A$10:F$73,6)))</f>
      </c>
      <c r="F54" s="196">
        <f>IF(ISBLANK(A54),"",IF(ISBLANK(VLOOKUP(A54,'整地工'!A$10:G$73,7)),"",VLOOKUP(A54,'整地工'!A$10:G$73,7)))</f>
      </c>
      <c r="G54" s="593"/>
      <c r="H54" s="213">
        <f t="shared" si="1"/>
      </c>
      <c r="I54" s="594"/>
      <c r="J54" s="219"/>
      <c r="K54" s="219"/>
      <c r="L54" s="214">
        <f t="shared" si="2"/>
      </c>
      <c r="M54" s="219"/>
      <c r="N54" s="593"/>
      <c r="O54" s="219">
        <f t="shared" si="3"/>
      </c>
      <c r="P54" s="214">
        <f t="shared" si="4"/>
      </c>
      <c r="Q54" s="207">
        <f t="shared" si="5"/>
      </c>
      <c r="R54" s="53"/>
    </row>
    <row r="55" spans="1:18" s="23" customFormat="1" ht="24" customHeight="1">
      <c r="A55" s="211"/>
      <c r="B55" s="194">
        <f>IF(ISBLANK(A55),"",IF(ISBLANK(VLOOKUP(A55,'整地工'!A$10:B$73,2)),"",VLOOKUP(A55,'整地工'!A$10:B$73,2)))</f>
      </c>
      <c r="C55" s="206">
        <f>IF(ISBLANK(A55),"",IF(ISBLANK(VLOOKUP(A55,'整地工'!A$10:D$73,4)),"",VLOOKUP(A55,'整地工'!A$10:D$73,4)))</f>
      </c>
      <c r="D55" s="195">
        <f t="shared" si="0"/>
      </c>
      <c r="E55" s="195">
        <f>IF(ISBLANK(A55),"",IF(ISBLANK(VLOOKUP(A55,'整地工'!A$10:F$73,6)),"",VLOOKUP(A55,'整地工'!A$10:F$73,6)))</f>
      </c>
      <c r="F55" s="196">
        <f>IF(ISBLANK(A55),"",IF(ISBLANK(VLOOKUP(A55,'整地工'!A$10:G$73,7)),"",VLOOKUP(A55,'整地工'!A$10:G$73,7)))</f>
      </c>
      <c r="G55" s="593"/>
      <c r="H55" s="213">
        <f t="shared" si="1"/>
      </c>
      <c r="I55" s="594"/>
      <c r="J55" s="219"/>
      <c r="K55" s="219"/>
      <c r="L55" s="214">
        <f t="shared" si="2"/>
      </c>
      <c r="M55" s="219"/>
      <c r="N55" s="593"/>
      <c r="O55" s="219">
        <f t="shared" si="3"/>
      </c>
      <c r="P55" s="214">
        <f t="shared" si="4"/>
      </c>
      <c r="Q55" s="207">
        <f t="shared" si="5"/>
      </c>
      <c r="R55" s="53"/>
    </row>
    <row r="56" spans="1:18" s="23" customFormat="1" ht="24" customHeight="1">
      <c r="A56" s="211"/>
      <c r="B56" s="194">
        <f>IF(ISBLANK(A56),"",IF(ISBLANK(VLOOKUP(A56,'整地工'!A$10:B$73,2)),"",VLOOKUP(A56,'整地工'!A$10:B$73,2)))</f>
      </c>
      <c r="C56" s="206">
        <f>IF(ISBLANK(A56),"",IF(ISBLANK(VLOOKUP(A56,'整地工'!A$10:D$73,4)),"",VLOOKUP(A56,'整地工'!A$10:D$73,4)))</f>
      </c>
      <c r="D56" s="195">
        <f t="shared" si="0"/>
      </c>
      <c r="E56" s="195">
        <f>IF(ISBLANK(A56),"",IF(ISBLANK(VLOOKUP(A56,'整地工'!A$10:F$73,6)),"",VLOOKUP(A56,'整地工'!A$10:F$73,6)))</f>
      </c>
      <c r="F56" s="196">
        <f>IF(ISBLANK(A56),"",IF(ISBLANK(VLOOKUP(A56,'整地工'!A$10:G$73,7)),"",VLOOKUP(A56,'整地工'!A$10:G$73,7)))</f>
      </c>
      <c r="G56" s="593"/>
      <c r="H56" s="213">
        <f t="shared" si="1"/>
      </c>
      <c r="I56" s="594"/>
      <c r="J56" s="219"/>
      <c r="K56" s="219"/>
      <c r="L56" s="214">
        <f t="shared" si="2"/>
      </c>
      <c r="M56" s="219"/>
      <c r="N56" s="593"/>
      <c r="O56" s="219">
        <f t="shared" si="3"/>
      </c>
      <c r="P56" s="214">
        <f t="shared" si="4"/>
      </c>
      <c r="Q56" s="207">
        <f t="shared" si="5"/>
      </c>
      <c r="R56" s="53"/>
    </row>
    <row r="57" spans="1:18" s="23" customFormat="1" ht="24" customHeight="1">
      <c r="A57" s="211"/>
      <c r="B57" s="194">
        <f>IF(ISBLANK(A57),"",IF(ISBLANK(VLOOKUP(A57,'整地工'!A$10:B$73,2)),"",VLOOKUP(A57,'整地工'!A$10:B$73,2)))</f>
      </c>
      <c r="C57" s="206">
        <f>IF(ISBLANK(A57),"",IF(ISBLANK(VLOOKUP(A57,'整地工'!A$10:D$73,4)),"",VLOOKUP(A57,'整地工'!A$10:D$73,4)))</f>
      </c>
      <c r="D57" s="195">
        <f t="shared" si="0"/>
      </c>
      <c r="E57" s="195">
        <f>IF(ISBLANK(A57),"",IF(ISBLANK(VLOOKUP(A57,'整地工'!A$10:F$73,6)),"",VLOOKUP(A57,'整地工'!A$10:F$73,6)))</f>
      </c>
      <c r="F57" s="196">
        <f>IF(ISBLANK(A57),"",IF(ISBLANK(VLOOKUP(A57,'整地工'!A$10:G$73,7)),"",VLOOKUP(A57,'整地工'!A$10:G$73,7)))</f>
      </c>
      <c r="G57" s="593"/>
      <c r="H57" s="213">
        <f t="shared" si="1"/>
      </c>
      <c r="I57" s="594"/>
      <c r="J57" s="219"/>
      <c r="K57" s="219"/>
      <c r="L57" s="214">
        <f t="shared" si="2"/>
      </c>
      <c r="M57" s="219"/>
      <c r="N57" s="593"/>
      <c r="O57" s="219">
        <f t="shared" si="3"/>
      </c>
      <c r="P57" s="214">
        <f t="shared" si="4"/>
      </c>
      <c r="Q57" s="207">
        <f t="shared" si="5"/>
      </c>
      <c r="R57" s="53"/>
    </row>
    <row r="58" spans="1:18" s="23" customFormat="1" ht="24" customHeight="1">
      <c r="A58" s="211"/>
      <c r="B58" s="194">
        <f>IF(ISBLANK(A58),"",IF(ISBLANK(VLOOKUP(A58,'整地工'!A$10:B$73,2)),"",VLOOKUP(A58,'整地工'!A$10:B$73,2)))</f>
      </c>
      <c r="C58" s="206">
        <f>IF(ISBLANK(A58),"",IF(ISBLANK(VLOOKUP(A58,'整地工'!A$10:D$73,4)),"",VLOOKUP(A58,'整地工'!A$10:D$73,4)))</f>
      </c>
      <c r="D58" s="195">
        <f t="shared" si="0"/>
      </c>
      <c r="E58" s="195">
        <f>IF(ISBLANK(A58),"",IF(ISBLANK(VLOOKUP(A58,'整地工'!A$10:F$73,6)),"",VLOOKUP(A58,'整地工'!A$10:F$73,6)))</f>
      </c>
      <c r="F58" s="196">
        <f>IF(ISBLANK(A58),"",IF(ISBLANK(VLOOKUP(A58,'整地工'!A$10:G$73,7)),"",VLOOKUP(A58,'整地工'!A$10:G$73,7)))</f>
      </c>
      <c r="G58" s="593"/>
      <c r="H58" s="213">
        <f t="shared" si="1"/>
      </c>
      <c r="I58" s="594"/>
      <c r="J58" s="219"/>
      <c r="K58" s="219"/>
      <c r="L58" s="214">
        <f t="shared" si="2"/>
      </c>
      <c r="M58" s="219"/>
      <c r="N58" s="593"/>
      <c r="O58" s="219">
        <f t="shared" si="3"/>
      </c>
      <c r="P58" s="214">
        <f t="shared" si="4"/>
      </c>
      <c r="Q58" s="207">
        <f t="shared" si="5"/>
      </c>
      <c r="R58" s="53"/>
    </row>
    <row r="59" spans="1:18" s="23" customFormat="1" ht="24" customHeight="1">
      <c r="A59" s="211"/>
      <c r="B59" s="194">
        <f>IF(ISBLANK(A59),"",IF(ISBLANK(VLOOKUP(A59,'整地工'!A$10:B$73,2)),"",VLOOKUP(A59,'整地工'!A$10:B$73,2)))</f>
      </c>
      <c r="C59" s="206">
        <f>IF(ISBLANK(A59),"",IF(ISBLANK(VLOOKUP(A59,'整地工'!A$10:D$73,4)),"",VLOOKUP(A59,'整地工'!A$10:D$73,4)))</f>
      </c>
      <c r="D59" s="195">
        <f t="shared" si="0"/>
      </c>
      <c r="E59" s="195">
        <f>IF(ISBLANK(A59),"",IF(ISBLANK(VLOOKUP(A59,'整地工'!A$10:F$73,6)),"",VLOOKUP(A59,'整地工'!A$10:F$73,6)))</f>
      </c>
      <c r="F59" s="196">
        <f>IF(ISBLANK(A59),"",IF(ISBLANK(VLOOKUP(A59,'整地工'!A$10:G$73,7)),"",VLOOKUP(A59,'整地工'!A$10:G$73,7)))</f>
      </c>
      <c r="G59" s="593"/>
      <c r="H59" s="213">
        <f t="shared" si="1"/>
      </c>
      <c r="I59" s="594"/>
      <c r="J59" s="219"/>
      <c r="K59" s="219"/>
      <c r="L59" s="214">
        <f t="shared" si="2"/>
      </c>
      <c r="M59" s="219"/>
      <c r="N59" s="593"/>
      <c r="O59" s="219">
        <f t="shared" si="3"/>
      </c>
      <c r="P59" s="214">
        <f t="shared" si="4"/>
      </c>
      <c r="Q59" s="207">
        <f t="shared" si="5"/>
      </c>
      <c r="R59" s="53"/>
    </row>
    <row r="60" spans="1:18" s="23" customFormat="1" ht="24" customHeight="1">
      <c r="A60" s="211"/>
      <c r="B60" s="194">
        <f>IF(ISBLANK(A60),"",IF(ISBLANK(VLOOKUP(A60,'整地工'!A$10:B$73,2)),"",VLOOKUP(A60,'整地工'!A$10:B$73,2)))</f>
      </c>
      <c r="C60" s="206">
        <f>IF(ISBLANK(A60),"",IF(ISBLANK(VLOOKUP(A60,'整地工'!A$10:D$73,4)),"",VLOOKUP(A60,'整地工'!A$10:D$73,4)))</f>
      </c>
      <c r="D60" s="195">
        <f t="shared" si="0"/>
      </c>
      <c r="E60" s="195">
        <f>IF(ISBLANK(A60),"",IF(ISBLANK(VLOOKUP(A60,'整地工'!A$10:F$73,6)),"",VLOOKUP(A60,'整地工'!A$10:F$73,6)))</f>
      </c>
      <c r="F60" s="196">
        <f>IF(ISBLANK(A60),"",IF(ISBLANK(VLOOKUP(A60,'整地工'!A$10:G$73,7)),"",VLOOKUP(A60,'整地工'!A$10:G$73,7)))</f>
      </c>
      <c r="G60" s="593"/>
      <c r="H60" s="213">
        <f t="shared" si="1"/>
      </c>
      <c r="I60" s="594"/>
      <c r="J60" s="219"/>
      <c r="K60" s="219"/>
      <c r="L60" s="214">
        <f t="shared" si="2"/>
      </c>
      <c r="M60" s="219"/>
      <c r="N60" s="593"/>
      <c r="O60" s="219">
        <f t="shared" si="3"/>
      </c>
      <c r="P60" s="214">
        <f t="shared" si="4"/>
      </c>
      <c r="Q60" s="207">
        <f t="shared" si="5"/>
      </c>
      <c r="R60" s="53"/>
    </row>
    <row r="61" spans="1:18" s="23" customFormat="1" ht="24" customHeight="1">
      <c r="A61" s="211"/>
      <c r="B61" s="194">
        <f>IF(ISBLANK(A61),"",IF(ISBLANK(VLOOKUP(A61,'整地工'!A$10:B$73,2)),"",VLOOKUP(A61,'整地工'!A$10:B$73,2)))</f>
      </c>
      <c r="C61" s="206">
        <f>IF(ISBLANK(A61),"",IF(ISBLANK(VLOOKUP(A61,'整地工'!A$10:D$73,4)),"",VLOOKUP(A61,'整地工'!A$10:D$73,4)))</f>
      </c>
      <c r="D61" s="195">
        <f t="shared" si="0"/>
      </c>
      <c r="E61" s="195">
        <f>IF(ISBLANK(A61),"",IF(ISBLANK(VLOOKUP(A61,'整地工'!A$10:F$73,6)),"",VLOOKUP(A61,'整地工'!A$10:F$73,6)))</f>
      </c>
      <c r="F61" s="196">
        <f>IF(ISBLANK(A61),"",IF(ISBLANK(VLOOKUP(A61,'整地工'!A$10:G$73,7)),"",VLOOKUP(A61,'整地工'!A$10:G$73,7)))</f>
      </c>
      <c r="G61" s="593"/>
      <c r="H61" s="213">
        <f t="shared" si="1"/>
      </c>
      <c r="I61" s="594"/>
      <c r="J61" s="219"/>
      <c r="K61" s="219"/>
      <c r="L61" s="214">
        <f t="shared" si="2"/>
      </c>
      <c r="M61" s="219"/>
      <c r="N61" s="593"/>
      <c r="O61" s="219">
        <f t="shared" si="3"/>
      </c>
      <c r="P61" s="214">
        <f t="shared" si="4"/>
      </c>
      <c r="Q61" s="207">
        <f t="shared" si="5"/>
      </c>
      <c r="R61" s="53"/>
    </row>
    <row r="62" spans="1:18" s="23" customFormat="1" ht="24" customHeight="1">
      <c r="A62" s="211"/>
      <c r="B62" s="194">
        <f>IF(ISBLANK(A62),"",IF(ISBLANK(VLOOKUP(A62,'整地工'!A$10:B$73,2)),"",VLOOKUP(A62,'整地工'!A$10:B$73,2)))</f>
      </c>
      <c r="C62" s="206">
        <f>IF(ISBLANK(A62),"",IF(ISBLANK(VLOOKUP(A62,'整地工'!A$10:D$73,4)),"",VLOOKUP(A62,'整地工'!A$10:D$73,4)))</f>
      </c>
      <c r="D62" s="195">
        <f t="shared" si="0"/>
      </c>
      <c r="E62" s="195">
        <f>IF(ISBLANK(A62),"",IF(ISBLANK(VLOOKUP(A62,'整地工'!A$10:F$73,6)),"",VLOOKUP(A62,'整地工'!A$10:F$73,6)))</f>
      </c>
      <c r="F62" s="196">
        <f>IF(ISBLANK(A62),"",IF(ISBLANK(VLOOKUP(A62,'整地工'!A$10:G$73,7)),"",VLOOKUP(A62,'整地工'!A$10:G$73,7)))</f>
      </c>
      <c r="G62" s="593"/>
      <c r="H62" s="213">
        <f t="shared" si="1"/>
      </c>
      <c r="I62" s="594"/>
      <c r="J62" s="219"/>
      <c r="K62" s="219"/>
      <c r="L62" s="214">
        <f t="shared" si="2"/>
      </c>
      <c r="M62" s="219"/>
      <c r="N62" s="593"/>
      <c r="O62" s="219">
        <f t="shared" si="3"/>
      </c>
      <c r="P62" s="214">
        <f t="shared" si="4"/>
      </c>
      <c r="Q62" s="207">
        <f t="shared" si="5"/>
      </c>
      <c r="R62" s="53"/>
    </row>
    <row r="63" spans="1:18" s="23" customFormat="1" ht="24" customHeight="1">
      <c r="A63" s="211"/>
      <c r="B63" s="194">
        <f>IF(ISBLANK(A63),"",IF(ISBLANK(VLOOKUP(A63,'整地工'!A$10:B$73,2)),"",VLOOKUP(A63,'整地工'!A$10:B$73,2)))</f>
      </c>
      <c r="C63" s="206">
        <f>IF(ISBLANK(A63),"",IF(ISBLANK(VLOOKUP(A63,'整地工'!A$10:D$73,4)),"",VLOOKUP(A63,'整地工'!A$10:D$73,4)))</f>
      </c>
      <c r="D63" s="195">
        <f t="shared" si="0"/>
      </c>
      <c r="E63" s="195">
        <f>IF(ISBLANK(A63),"",IF(ISBLANK(VLOOKUP(A63,'整地工'!A$10:F$73,6)),"",VLOOKUP(A63,'整地工'!A$10:F$73,6)))</f>
      </c>
      <c r="F63" s="196">
        <f>IF(ISBLANK(A63),"",IF(ISBLANK(VLOOKUP(A63,'整地工'!A$10:G$73,7)),"",VLOOKUP(A63,'整地工'!A$10:G$73,7)))</f>
      </c>
      <c r="G63" s="593"/>
      <c r="H63" s="213">
        <f t="shared" si="1"/>
      </c>
      <c r="I63" s="594"/>
      <c r="J63" s="219"/>
      <c r="K63" s="219"/>
      <c r="L63" s="214">
        <f t="shared" si="2"/>
      </c>
      <c r="M63" s="219"/>
      <c r="N63" s="593"/>
      <c r="O63" s="219">
        <f t="shared" si="3"/>
      </c>
      <c r="P63" s="214">
        <f t="shared" si="4"/>
      </c>
      <c r="Q63" s="207">
        <f t="shared" si="5"/>
      </c>
      <c r="R63" s="53"/>
    </row>
    <row r="64" spans="1:18" s="23" customFormat="1" ht="24" customHeight="1">
      <c r="A64" s="211"/>
      <c r="B64" s="194">
        <f>IF(ISBLANK(A64),"",IF(ISBLANK(VLOOKUP(A64,'整地工'!A$10:B$73,2)),"",VLOOKUP(A64,'整地工'!A$10:B$73,2)))</f>
      </c>
      <c r="C64" s="206">
        <f>IF(ISBLANK(A64),"",IF(ISBLANK(VLOOKUP(A64,'整地工'!A$10:D$73,4)),"",VLOOKUP(A64,'整地工'!A$10:D$73,4)))</f>
      </c>
      <c r="D64" s="195">
        <f t="shared" si="0"/>
      </c>
      <c r="E64" s="195">
        <f>IF(ISBLANK(A64),"",IF(ISBLANK(VLOOKUP(A64,'整地工'!A$10:F$73,6)),"",VLOOKUP(A64,'整地工'!A$10:F$73,6)))</f>
      </c>
      <c r="F64" s="196">
        <f>IF(ISBLANK(A64),"",IF(ISBLANK(VLOOKUP(A64,'整地工'!A$10:G$73,7)),"",VLOOKUP(A64,'整地工'!A$10:G$73,7)))</f>
      </c>
      <c r="G64" s="593"/>
      <c r="H64" s="213">
        <f t="shared" si="1"/>
      </c>
      <c r="I64" s="594"/>
      <c r="J64" s="219"/>
      <c r="K64" s="219"/>
      <c r="L64" s="214">
        <f t="shared" si="2"/>
      </c>
      <c r="M64" s="219"/>
      <c r="N64" s="593"/>
      <c r="O64" s="219">
        <f t="shared" si="3"/>
      </c>
      <c r="P64" s="214">
        <f t="shared" si="4"/>
      </c>
      <c r="Q64" s="207">
        <f t="shared" si="5"/>
      </c>
      <c r="R64" s="53"/>
    </row>
    <row r="65" spans="1:18" s="23" customFormat="1" ht="24" customHeight="1">
      <c r="A65" s="211"/>
      <c r="B65" s="194">
        <f>IF(ISBLANK(A65),"",IF(ISBLANK(VLOOKUP(A65,'整地工'!A$10:B$73,2)),"",VLOOKUP(A65,'整地工'!A$10:B$73,2)))</f>
      </c>
      <c r="C65" s="206">
        <f>IF(ISBLANK(A65),"",IF(ISBLANK(VLOOKUP(A65,'整地工'!A$10:D$73,4)),"",VLOOKUP(A65,'整地工'!A$10:D$73,4)))</f>
      </c>
      <c r="D65" s="195">
        <f t="shared" si="0"/>
      </c>
      <c r="E65" s="195">
        <f>IF(ISBLANK(A65),"",IF(ISBLANK(VLOOKUP(A65,'整地工'!A$10:F$73,6)),"",VLOOKUP(A65,'整地工'!A$10:F$73,6)))</f>
      </c>
      <c r="F65" s="196">
        <f>IF(ISBLANK(A65),"",IF(ISBLANK(VLOOKUP(A65,'整地工'!A$10:G$73,7)),"",VLOOKUP(A65,'整地工'!A$10:G$73,7)))</f>
      </c>
      <c r="G65" s="593"/>
      <c r="H65" s="213">
        <f t="shared" si="1"/>
      </c>
      <c r="I65" s="594"/>
      <c r="J65" s="219"/>
      <c r="K65" s="219"/>
      <c r="L65" s="214">
        <f t="shared" si="2"/>
      </c>
      <c r="M65" s="219"/>
      <c r="N65" s="593"/>
      <c r="O65" s="219">
        <f t="shared" si="3"/>
      </c>
      <c r="P65" s="214">
        <f t="shared" si="4"/>
      </c>
      <c r="Q65" s="207">
        <f t="shared" si="5"/>
      </c>
      <c r="R65" s="53"/>
    </row>
    <row r="66" spans="1:18" s="23" customFormat="1" ht="24" customHeight="1">
      <c r="A66" s="211"/>
      <c r="B66" s="194">
        <f>IF(ISBLANK(A66),"",IF(ISBLANK(VLOOKUP(A66,'整地工'!A$10:B$73,2)),"",VLOOKUP(A66,'整地工'!A$10:B$73,2)))</f>
      </c>
      <c r="C66" s="206">
        <f>IF(ISBLANK(A66),"",IF(ISBLANK(VLOOKUP(A66,'整地工'!A$10:D$73,4)),"",VLOOKUP(A66,'整地工'!A$10:D$73,4)))</f>
      </c>
      <c r="D66" s="195">
        <f t="shared" si="0"/>
      </c>
      <c r="E66" s="195">
        <f>IF(ISBLANK(A66),"",IF(ISBLANK(VLOOKUP(A66,'整地工'!A$10:F$73,6)),"",VLOOKUP(A66,'整地工'!A$10:F$73,6)))</f>
      </c>
      <c r="F66" s="196">
        <f>IF(ISBLANK(A66),"",IF(ISBLANK(VLOOKUP(A66,'整地工'!A$10:G$73,7)),"",VLOOKUP(A66,'整地工'!A$10:G$73,7)))</f>
      </c>
      <c r="G66" s="593"/>
      <c r="H66" s="213">
        <f t="shared" si="1"/>
      </c>
      <c r="I66" s="594"/>
      <c r="J66" s="219"/>
      <c r="K66" s="219"/>
      <c r="L66" s="214">
        <f t="shared" si="2"/>
      </c>
      <c r="M66" s="219"/>
      <c r="N66" s="593"/>
      <c r="O66" s="219">
        <f t="shared" si="3"/>
      </c>
      <c r="P66" s="214">
        <f t="shared" si="4"/>
      </c>
      <c r="Q66" s="207">
        <f t="shared" si="5"/>
      </c>
      <c r="R66" s="53"/>
    </row>
    <row r="67" spans="1:18" s="23" customFormat="1" ht="24" customHeight="1">
      <c r="A67" s="211"/>
      <c r="B67" s="194">
        <f>IF(ISBLANK(A67),"",IF(ISBLANK(VLOOKUP(A67,'整地工'!A$10:B$73,2)),"",VLOOKUP(A67,'整地工'!A$10:B$73,2)))</f>
      </c>
      <c r="C67" s="206">
        <f>IF(ISBLANK(A67),"",IF(ISBLANK(VLOOKUP(A67,'整地工'!A$10:D$73,4)),"",VLOOKUP(A67,'整地工'!A$10:D$73,4)))</f>
      </c>
      <c r="D67" s="195">
        <f t="shared" si="0"/>
      </c>
      <c r="E67" s="195">
        <f>IF(ISBLANK(A67),"",IF(ISBLANK(VLOOKUP(A67,'整地工'!A$10:F$73,6)),"",VLOOKUP(A67,'整地工'!A$10:F$73,6)))</f>
      </c>
      <c r="F67" s="196">
        <f>IF(ISBLANK(A67),"",IF(ISBLANK(VLOOKUP(A67,'整地工'!A$10:G$73,7)),"",VLOOKUP(A67,'整地工'!A$10:G$73,7)))</f>
      </c>
      <c r="G67" s="595"/>
      <c r="H67" s="213">
        <f t="shared" si="1"/>
      </c>
      <c r="I67" s="170"/>
      <c r="J67" s="171"/>
      <c r="K67" s="171"/>
      <c r="L67" s="214">
        <f t="shared" si="2"/>
      </c>
      <c r="M67" s="171"/>
      <c r="N67" s="595"/>
      <c r="O67" s="219">
        <f t="shared" si="3"/>
      </c>
      <c r="P67" s="214">
        <f t="shared" si="4"/>
      </c>
      <c r="Q67" s="207">
        <f t="shared" si="5"/>
      </c>
      <c r="R67" s="53"/>
    </row>
    <row r="68" spans="1:18" s="23" customFormat="1" ht="24" customHeight="1">
      <c r="A68" s="211"/>
      <c r="B68" s="54" t="s">
        <v>47</v>
      </c>
      <c r="C68" s="13"/>
      <c r="D68" s="14"/>
      <c r="E68" s="14"/>
      <c r="F68" s="13">
        <f>SUM(F9:F67)</f>
        <v>0</v>
      </c>
      <c r="G68" s="13"/>
      <c r="H68" s="13"/>
      <c r="I68" s="156"/>
      <c r="J68" s="13"/>
      <c r="K68" s="13"/>
      <c r="L68" s="13"/>
      <c r="M68" s="596"/>
      <c r="N68" s="596"/>
      <c r="O68" s="13"/>
      <c r="P68" s="13"/>
      <c r="Q68" s="13">
        <f>SUM(Q9:Q67)</f>
        <v>0</v>
      </c>
      <c r="R68" s="53"/>
    </row>
    <row r="69" spans="1:18" s="23" customFormat="1" ht="24" customHeight="1" thickBot="1">
      <c r="A69" s="211"/>
      <c r="B69" s="27"/>
      <c r="C69" s="30"/>
      <c r="D69" s="33"/>
      <c r="E69" s="33"/>
      <c r="F69" s="50" t="s">
        <v>45</v>
      </c>
      <c r="G69" s="51"/>
      <c r="H69" s="51"/>
      <c r="I69" s="56" t="s">
        <v>14</v>
      </c>
      <c r="J69" s="50" t="s">
        <v>14</v>
      </c>
      <c r="K69" s="50" t="s">
        <v>14</v>
      </c>
      <c r="L69" s="50"/>
      <c r="M69" s="41" t="s">
        <v>14</v>
      </c>
      <c r="N69" s="41" t="s">
        <v>14</v>
      </c>
      <c r="O69" s="41" t="s">
        <v>14</v>
      </c>
      <c r="P69" s="41"/>
      <c r="Q69" s="41" t="s">
        <v>45</v>
      </c>
      <c r="R69" s="44"/>
    </row>
    <row r="70" spans="1:18" s="23" customFormat="1" ht="24" customHeight="1">
      <c r="A70" s="211"/>
      <c r="B70" s="45" t="s">
        <v>38</v>
      </c>
      <c r="C70" s="1750" t="s">
        <v>7</v>
      </c>
      <c r="D70" s="1751"/>
      <c r="E70" s="1751"/>
      <c r="F70" s="28" t="s">
        <v>1</v>
      </c>
      <c r="G70" s="161" t="s">
        <v>431</v>
      </c>
      <c r="H70" s="28" t="s">
        <v>432</v>
      </c>
      <c r="I70" s="166" t="s">
        <v>433</v>
      </c>
      <c r="J70" s="28" t="s">
        <v>434</v>
      </c>
      <c r="K70" s="166" t="s">
        <v>442</v>
      </c>
      <c r="L70" s="28" t="s">
        <v>435</v>
      </c>
      <c r="M70" s="30" t="s">
        <v>433</v>
      </c>
      <c r="N70" s="30" t="s">
        <v>434</v>
      </c>
      <c r="O70" s="30" t="s">
        <v>443</v>
      </c>
      <c r="P70" s="28" t="s">
        <v>435</v>
      </c>
      <c r="Q70" s="166" t="s">
        <v>436</v>
      </c>
      <c r="R70" s="35" t="s">
        <v>26</v>
      </c>
    </row>
    <row r="71" spans="1:18" s="23" customFormat="1" ht="24" customHeight="1">
      <c r="A71" s="211"/>
      <c r="B71" s="27"/>
      <c r="C71" s="30"/>
      <c r="D71" s="33"/>
      <c r="E71" s="33"/>
      <c r="F71" s="30" t="s">
        <v>40</v>
      </c>
      <c r="G71" s="58" t="s">
        <v>437</v>
      </c>
      <c r="H71" s="159" t="s">
        <v>438</v>
      </c>
      <c r="I71" s="167"/>
      <c r="J71" s="168"/>
      <c r="K71" s="168"/>
      <c r="L71" s="159" t="s">
        <v>444</v>
      </c>
      <c r="M71" s="168"/>
      <c r="N71" s="168"/>
      <c r="O71" s="168"/>
      <c r="P71" s="159" t="s">
        <v>445</v>
      </c>
      <c r="Q71" s="163" t="s">
        <v>446</v>
      </c>
      <c r="R71" s="52"/>
    </row>
    <row r="72" spans="1:18" s="23" customFormat="1" ht="24" customHeight="1" thickBot="1">
      <c r="A72" s="211"/>
      <c r="B72" s="36"/>
      <c r="C72" s="37"/>
      <c r="D72" s="24"/>
      <c r="E72" s="24"/>
      <c r="F72" s="37"/>
      <c r="G72" s="157"/>
      <c r="H72" s="158"/>
      <c r="I72" s="1770" t="s">
        <v>280</v>
      </c>
      <c r="J72" s="1770"/>
      <c r="K72" s="1770"/>
      <c r="L72" s="1771"/>
      <c r="M72" s="1767" t="s">
        <v>278</v>
      </c>
      <c r="N72" s="1768"/>
      <c r="O72" s="1768"/>
      <c r="P72" s="1769"/>
      <c r="Q72" s="164"/>
      <c r="R72" s="44"/>
    </row>
    <row r="73" spans="1:14" ht="13.5">
      <c r="A73" s="208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3.5">
      <c r="A74" s="208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3.5">
      <c r="A75" s="208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3.5">
      <c r="A76" s="208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3.5">
      <c r="A77" s="208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3.5">
      <c r="A78" s="208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3.5">
      <c r="A79" s="208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3.5">
      <c r="A80" s="208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3.5">
      <c r="A81" s="208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3.5">
      <c r="A82" s="208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3.5">
      <c r="A83" s="208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3.5">
      <c r="A84" s="208"/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3.5">
      <c r="A85" s="208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3.5">
      <c r="A86" s="208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3.5">
      <c r="A87" s="208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3.5">
      <c r="A88" s="208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3.5">
      <c r="A89" s="208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3.5">
      <c r="A90" s="208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3.5">
      <c r="A91" s="208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3.5">
      <c r="A92" s="208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3.5">
      <c r="A93" s="208"/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3.5">
      <c r="A94" s="208"/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3.5">
      <c r="A95" s="208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3.5">
      <c r="A96" s="208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3.5">
      <c r="A97" s="208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3.5">
      <c r="A98" s="208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3.5">
      <c r="A99" s="208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3.5">
      <c r="A100" s="208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3.5">
      <c r="A101" s="208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3.5">
      <c r="A102" s="208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3.5">
      <c r="A103" s="208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3.5">
      <c r="A104" s="208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3.5">
      <c r="A105" s="208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3.5">
      <c r="A106" s="208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3.5">
      <c r="A107" s="208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3.5">
      <c r="A108" s="208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3.5">
      <c r="A109" s="208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3.5">
      <c r="A110" s="208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3.5">
      <c r="A111" s="208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3.5">
      <c r="A112" s="208"/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3.5">
      <c r="A113" s="208"/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3.5">
      <c r="A114" s="208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3.5">
      <c r="A115" s="208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3.5">
      <c r="A116" s="208"/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3.5">
      <c r="A117" s="208"/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3.5">
      <c r="A118" s="208"/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3.5">
      <c r="A119" s="208"/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3.5">
      <c r="A120" s="208"/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3.5">
      <c r="A121" s="208"/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3.5">
      <c r="A122" s="208"/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3.5">
      <c r="A123" s="208"/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3.5">
      <c r="A124" s="208"/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</sheetData>
  <sheetProtection/>
  <mergeCells count="9">
    <mergeCell ref="M72:P72"/>
    <mergeCell ref="I72:L72"/>
    <mergeCell ref="C2:P2"/>
    <mergeCell ref="C5:E5"/>
    <mergeCell ref="C6:E6"/>
    <mergeCell ref="D4:E4"/>
    <mergeCell ref="M5:P5"/>
    <mergeCell ref="I5:L5"/>
    <mergeCell ref="C70:E70"/>
  </mergeCells>
  <printOptions horizontalCentered="1" verticalCentered="1"/>
  <pageMargins left="0" right="0" top="0.5905511811023623" bottom="0.1968503937007874" header="0" footer="0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渋川土地改良事務所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omi-y</dc:creator>
  <cp:keywords/>
  <dc:description/>
  <cp:lastModifiedBy>-</cp:lastModifiedBy>
  <cp:lastPrinted>2023-07-04T06:21:06Z</cp:lastPrinted>
  <dcterms:created xsi:type="dcterms:W3CDTF">1997-09-09T08:39:54Z</dcterms:created>
  <dcterms:modified xsi:type="dcterms:W3CDTF">2023-07-05T01:33:51Z</dcterms:modified>
  <cp:category/>
  <cp:version/>
  <cp:contentType/>
  <cp:contentStatus/>
</cp:coreProperties>
</file>